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ynthèse" sheetId="1" state="visible" r:id="rId3"/>
    <sheet name="Hypothèses" sheetId="2" state="visible" r:id="rId4"/>
    <sheet name="Activité" sheetId="3" state="visible" r:id="rId5"/>
    <sheet name="Financement" sheetId="4" state="visible" r:id="rId6"/>
    <sheet name="Prêt" sheetId="5" state="visible" r:id="rId7"/>
    <sheet name="Compte de résultat" sheetId="6" state="visible" r:id="rId8"/>
    <sheet name="Trésorerie année 1" sheetId="7" state="visible" r:id="rId9"/>
    <sheet name="Plan à 3 ans" sheetId="8" state="visible" r:id="rId10"/>
    <sheet name="Bilan" sheetId="9" state="visible" r:id="rId11"/>
    <sheet name="Scénarios" sheetId="10" state="visible" r:id="rId1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<sst xmlns="http://schemas.openxmlformats.org/spreadsheetml/2006/main" count="492" uniqueCount="431">
  <si>
    <t xml:space="preserve">Vitres Padel Club : synthèse du prévisionnel (exemple fictif)</t>
  </si>
  <si>
    <t xml:space="preserve">Indicateur</t>
  </si>
  <si>
    <t xml:space="preserve">Année 1</t>
  </si>
  <si>
    <t xml:space="preserve">Année 2</t>
  </si>
  <si>
    <t xml:space="preserve">Année 3</t>
  </si>
  <si>
    <t xml:space="preserve">Taux d'occupation moyen</t>
  </si>
  <si>
    <t xml:space="preserve">Chiffre d'affaires</t>
  </si>
  <si>
    <t xml:space="preserve">Excédent brut d'exploitation</t>
  </si>
  <si>
    <t xml:space="preserve">Résultat net</t>
  </si>
  <si>
    <t xml:space="preserve">Capacité d'autofinancement</t>
  </si>
  <si>
    <t xml:space="preserve">Échéances du prêt</t>
  </si>
  <si>
    <t xml:space="preserve">Couverture des échéances</t>
  </si>
  <si>
    <t xml:space="preserve">Financement</t>
  </si>
  <si>
    <t xml:space="preserve">Valeur</t>
  </si>
  <si>
    <t xml:space="preserve">Besoins totaux</t>
  </si>
  <si>
    <t xml:space="preserve">Prêt bancaire demandé</t>
  </si>
  <si>
    <t xml:space="preserve">Apport des associés</t>
  </si>
  <si>
    <t xml:space="preserve">Apport et prêts d'honneur</t>
  </si>
  <si>
    <t xml:space="preserve">Trésorerie à l'ouverture</t>
  </si>
  <si>
    <t xml:space="preserve">Trésorerie la plus basse de l'année 1</t>
  </si>
  <si>
    <t xml:space="preserve">Point mort de trésorerie (occupation)</t>
  </si>
  <si>
    <t xml:space="preserve">Contrôles</t>
  </si>
  <si>
    <t xml:space="preserve">Résultat</t>
  </si>
  <si>
    <t xml:space="preserve">La répartition mensuelle fait 100 %</t>
  </si>
  <si>
    <t xml:space="preserve">Besoins = ressources</t>
  </si>
  <si>
    <t xml:space="preserve">Trésorerie d'ouverture au moins égale à la cible</t>
  </si>
  <si>
    <t xml:space="preserve">Part du prêt bancaire au plus égale à 70 %</t>
  </si>
  <si>
    <t xml:space="preserve">Plan annuel = plan mensuel (fin d'année 1)</t>
  </si>
  <si>
    <t xml:space="preserve">Actif = passif (ouverture et 3 années)</t>
  </si>
  <si>
    <t xml:space="preserve">Trésorerie positive tous les mois de l'année 1</t>
  </si>
  <si>
    <t xml:space="preserve">Vitres Padel Club : hypothèses du prévisionnel (exemple fictif)</t>
  </si>
  <si>
    <t xml:space="preserve">Montants en euros HT sauf mention TTC. Les cellules en bleu sur fond clair sont les hypothèses : modifiez-les, tout le reste se recalcule.</t>
  </si>
  <si>
    <t xml:space="preserve">Exemple de démonstration : Vitres Padel Club, ses associés et son local sont fictifs. Les hypothèses s'appuient sur les sources citées en colonne C ; celles marquées « estimation » sont à remplacer par les devis et le bail du client.</t>
  </si>
  <si>
    <t xml:space="preserve">Le club et sa capacité</t>
  </si>
  <si>
    <t xml:space="preserve">Nombre de pistes</t>
  </si>
  <si>
    <t xml:space="preserve">Taille des clubs récents de la zone : 6 à 10 pistes (Padel AC 10, Mundo Padel 8, Padel 95 7, relevé d'octobre 2026). Au-dessous de 8, le loyer par piste devient trop lourd.</t>
  </si>
  <si>
    <t xml:space="preserve">Créneaux de 1 h 30 en heures pleines, par piste et par semaine</t>
  </si>
  <si>
    <t xml:space="preserve">Ouverture de 9 h à 24 h : 10 créneaux de 1 h 30 par jour. Heures pleines : 12 h-14 h et après 17 h en semaine, tout le week-end (grille de 4PADEL Épinay, structure proche chez Padel AC).</t>
  </si>
  <si>
    <t xml:space="preserve">Créneaux de 1 h 30 en heures creuses, par piste et par semaine</t>
  </si>
  <si>
    <t xml:space="preserve">Heures creuses : du lundi au vendredi, 9 h-12 h et 14 h-17 h.</t>
  </si>
  <si>
    <t xml:space="preserve">Semaines d'ouverture par an</t>
  </si>
  <si>
    <t xml:space="preserve">Estimation : fermeture une semaine à Noël.</t>
  </si>
  <si>
    <t xml:space="preserve">Joueurs par créneau</t>
  </si>
  <si>
    <t xml:space="preserve">Prix d'un créneau en heures pleines (TTC, 4 joueurs)</t>
  </si>
  <si>
    <t xml:space="preserve">Médiane de 8 clubs commerciaux du 95, du 93 et du 77, relevée le 9 octobre 2026 (page 4) : 18,50 € par joueur.</t>
  </si>
  <si>
    <t xml:space="preserve">Prix d'un créneau en heures creuses (TTC, 4 joueurs)</t>
  </si>
  <si>
    <t xml:space="preserve">Médiane de 8 clubs commerciaux du 95, du 93 et du 77, relevée le 9 octobre 2026 (page 4) : 13,50 € par joueur.</t>
  </si>
  <si>
    <t xml:space="preserve">Taux de TVA sur les ventes</t>
  </si>
  <si>
    <t xml:space="preserve">Taux normal : l'usage d'installations sportives est exclu du taux de 10 % (BOFiP BOI-TVA-LIQ-30-20-50, § 100, décembre 2025).</t>
  </si>
  <si>
    <t xml:space="preserve">Hausse annuelle des prix</t>
  </si>
  <si>
    <t xml:space="preserve">Estimation : les prix suivent les charges, pour ne pas gonfler l'EBE.</t>
  </si>
  <si>
    <t xml:space="preserve">Taux d'occupation</t>
  </si>
  <si>
    <t xml:space="preserve">Heures pleines, année 1</t>
  </si>
  <si>
    <t xml:space="preserve">Estimation. L'Observatoire du padel 2025 (Union Sport &amp; Cycle, FFT) donne 80 000 € TTC par piste et par an en moyenne nationale, soit environ 32 % de notre grille pleine. Année 1 : 27 % en moyenne, sous la moyenne nationale.</t>
  </si>
  <si>
    <t xml:space="preserve">Heures pleines, année 2</t>
  </si>
  <si>
    <t xml:space="preserve">Estimation : 35 % en moyenne en année 2. L'Observatoire indique des taux nettement supérieurs à Paris et dans les grandes villes, et meilleurs pour les clubs entièrement couverts.</t>
  </si>
  <si>
    <t xml:space="preserve">Heures pleines, année 3</t>
  </si>
  <si>
    <t xml:space="preserve">Estimation : 39 % en moyenne en année 3.</t>
  </si>
  <si>
    <t xml:space="preserve">Heures creuses, année 1</t>
  </si>
  <si>
    <t xml:space="preserve">Estimation : les heures creuses se remplissent environ deux fois et demie moins que les heures pleines.</t>
  </si>
  <si>
    <t xml:space="preserve">Heures creuses, année 2</t>
  </si>
  <si>
    <t xml:space="preserve">Estimation.</t>
  </si>
  <si>
    <t xml:space="preserve">Heures creuses, année 3</t>
  </si>
  <si>
    <t xml:space="preserve">Bar, distributeurs et boutique</t>
  </si>
  <si>
    <t xml:space="preserve">Dépense au bar et aux distributeurs, par joueur (HT)</t>
  </si>
  <si>
    <t xml:space="preserve">Estimation : environ 10 % du CA de location au total avec la boutique. 77 % des joueurs consomment sur place après la partie (Union Sport &amp; Cycle, novembre 2025).</t>
  </si>
  <si>
    <t xml:space="preserve">Achats du bar (% de ses ventes)</t>
  </si>
  <si>
    <t xml:space="preserve">Estimation : boissons et snacks revendus.</t>
  </si>
  <si>
    <t xml:space="preserve">Boutique et location de raquettes, par joueur (HT)</t>
  </si>
  <si>
    <t xml:space="preserve">Estimation : balles, grips et location de raquettes (4 € chez UrbanPadel).</t>
  </si>
  <si>
    <t xml:space="preserve">Achats de la boutique (% de ses ventes)</t>
  </si>
  <si>
    <t xml:space="preserve">Investissements (HT)</t>
  </si>
  <si>
    <t xml:space="preserve">Prix d'une piste panoramique posée</t>
  </si>
  <si>
    <t xml:space="preserve">Bas de la fourchette des pistes panoramiques indoor, 35 000 à 45 000 € HT, éclairage LED inclus (chiffres de constructeurs, Padel Magazine, février 2026). À remplacer par deux devis.</t>
  </si>
  <si>
    <t xml:space="preserve">Éclairage LED des pistes</t>
  </si>
  <si>
    <t xml:space="preserve">Inclus dans le prix des pistes. Le cahier des charges FFT demande 300 lux au minimum.</t>
  </si>
  <si>
    <t xml:space="preserve">Aménagements : vestiaires, sanitaires, accueil, club-house, accessibilité</t>
  </si>
  <si>
    <t xml:space="preserve">Estimation : vestiaires, sanitaires, accueil, club-house de 120 m², mise en accessibilité. À remplacer par les devis.</t>
  </si>
  <si>
    <t xml:space="preserve">Chauffage et ventilation de la halle</t>
  </si>
  <si>
    <t xml:space="preserve">Estimation : chauffage par rayonnement et ventilation de la halle. À remplacer par un devis.</t>
  </si>
  <si>
    <t xml:space="preserve">Contrôle d'accès, vidéo, wifi, caisse, écrans</t>
  </si>
  <si>
    <t xml:space="preserve">Estimation : contrôle d'accès, vidéo, wifi, caisse, écrans.</t>
  </si>
  <si>
    <t xml:space="preserve">Mobilier du club-house et distributeurs</t>
  </si>
  <si>
    <t xml:space="preserve">Estimation : mobilier du club-house, distributeurs.</t>
  </si>
  <si>
    <t xml:space="preserve">Frais de démarrage (HT)</t>
  </si>
  <si>
    <t xml:space="preserve">Honoraires de l'agence (% du loyer annuel)</t>
  </si>
  <si>
    <t xml:space="preserve">Estimation : honoraires négociés à 20 % du loyer annuel HT.</t>
  </si>
  <si>
    <t xml:space="preserve">Constitution de la société et frais juridiques</t>
  </si>
  <si>
    <t xml:space="preserve">Estimation : statuts, immatriculation, annonce légale, conseil juridique.</t>
  </si>
  <si>
    <t xml:space="preserve">Frais de dossier bancaire</t>
  </si>
  <si>
    <t xml:space="preserve">Estimation, à confirmer avec la banque.</t>
  </si>
  <si>
    <t xml:space="preserve">Mois de travaux avant l'ouverture (loyer en franchise)</t>
  </si>
  <si>
    <t xml:space="preserve">Franchise de loyer de 3 mois pendant les travaux, prévue au bail (charges dues).</t>
  </si>
  <si>
    <t xml:space="preserve">Communication de lancement</t>
  </si>
  <si>
    <t xml:space="preserve">Estimation : signalétique, réseaux sociaux, tournoi d'ouverture.</t>
  </si>
  <si>
    <t xml:space="preserve">Dépôt de garantie (mois de loyer HT)</t>
  </si>
  <si>
    <t xml:space="preserve">Estimation : dépôt de garantie usuel de 3 mois de loyer.</t>
  </si>
  <si>
    <t xml:space="preserve">Stock de départ (bar, balles, boutique)</t>
  </si>
  <si>
    <t xml:space="preserve">Estimation : boissons, balles, grips, raquettes de location.</t>
  </si>
  <si>
    <t xml:space="preserve">TVA sur investissements et frais</t>
  </si>
  <si>
    <t xml:space="preserve">Taux normal.</t>
  </si>
  <si>
    <t xml:space="preserve">Mois de remboursement de cette TVA</t>
  </si>
  <si>
    <t xml:space="preserve">Estimation : remboursement du crédit de TVA environ deux mois après l'ouverture.</t>
  </si>
  <si>
    <t xml:space="preserve">Trésorerie minimale visée à l'ouverture</t>
  </si>
  <si>
    <t xml:space="preserve">Notre seuil : au moins un mois de charges fixes en réserve à l'ouverture.</t>
  </si>
  <si>
    <t xml:space="preserve">Capital apporté par les associés</t>
  </si>
  <si>
    <t xml:space="preserve">Apport des deux associés au capital.</t>
  </si>
  <si>
    <t xml:space="preserve">Comptes courants d'associés bloqués (épargne)</t>
  </si>
  <si>
    <t xml:space="preserve">Épargne des associés, bloquée en compte courant pendant la durée du prêt (relevés joints).</t>
  </si>
  <si>
    <t xml:space="preserve">Prêts d'honneur des associés, apportés en compte courant</t>
  </si>
  <si>
    <t xml:space="preserve">Prêt d'honneur Initiactive 95 : de 1 000 à 25 000 € à 0 % (fiche les-aides.fr, à revérifier) ; Bpifrance Création : 1 000 à 80 000 € selon les réseaux.</t>
  </si>
  <si>
    <t xml:space="preserve">Montant demandé : ce qui reste à financer après les apports, avec une réserve de trésorerie.</t>
  </si>
  <si>
    <t xml:space="preserve">Taux du prêt (annuel)</t>
  </si>
  <si>
    <t xml:space="preserve">Taux moyen des nouveaux crédits aux PME : 3,64 % en juin 2026 (FBF, note d'août 2026). Nous retenons 4,3 % pour une création, à remplacer par l'offre de la banque.</t>
  </si>
  <si>
    <t xml:space="preserve">Durée du prêt (mois)</t>
  </si>
  <si>
    <t xml:space="preserve">Prêt moyen terme de 2 à 7 ans pour travaux et matériel (Caisse d'Épargne).</t>
  </si>
  <si>
    <t xml:space="preserve">Différé d'amortissement (mois, intérêts seuls)</t>
  </si>
  <si>
    <t xml:space="preserve">Différé de 12 mois, à négocier : le club se remplit avant les mensualités pleines.</t>
  </si>
  <si>
    <t xml:space="preserve">Assurance emprunteur (% du capital emprunté par an)</t>
  </si>
  <si>
    <t xml:space="preserve">Estimation : assurance décès-invalidité.</t>
  </si>
  <si>
    <t xml:space="preserve">Garantie Bpifrance (% du capital restant dû par an)</t>
  </si>
  <si>
    <t xml:space="preserve">Bpifrance Création garantit jusqu'à 60 % du prêt (bpifrance.fr). Coût non publié : hypothèse prudente de 0,8 % par an du capital restant dû.</t>
  </si>
  <si>
    <t xml:space="preserve">Crédit relais de TVA (1 = oui, 0 = non)</t>
  </si>
  <si>
    <t xml:space="preserve">La TVA des travaux est préfinancée par un crédit relais, pas par le prêt à 7 ans.</t>
  </si>
  <si>
    <t xml:space="preserve">Taux du crédit relais de TVA (annuel)</t>
  </si>
  <si>
    <t xml:space="preserve">Charges externes (année 1)</t>
  </si>
  <si>
    <t xml:space="preserve">Surface louée (m²)</t>
  </si>
  <si>
    <t xml:space="preserve">Estimation : environ 325 m² par piste avec les dégagements, les circulations et le club-house. Hauteur libre d'au moins 7 m (cahier des charges FFT, avril 2025).</t>
  </si>
  <si>
    <t xml:space="preserve">Loyer (€ HT par m² et par an)</t>
  </si>
  <si>
    <t xml:space="preserve">Bas de la fourchette des locaux d'activité de seconde main du nord de l'Île-de-France : 70 à 120 € HT/m²/an (CBRE, T4 2025). Les annonces du Val-d'Oise demandent 80 à 165 € (Arthur Loyd, octobre 2026) : c'est le poste à négocier en premier.</t>
  </si>
  <si>
    <t xml:space="preserve">Charges locatives et taxe foncière refacturées (€ par m² et par an)</t>
  </si>
  <si>
    <t xml:space="preserve">Estimation : charges locatives et taxe foncière refacturées.</t>
  </si>
  <si>
    <t xml:space="preserve">Puissance de l'éclairage d'une piste (kW)</t>
  </si>
  <si>
    <t xml:space="preserve">8 projecteurs LED de 200 W par piste (Led Projects, fournisseur d'éclairage).</t>
  </si>
  <si>
    <t xml:space="preserve">Prix de l'électricité (€ HT par kWh)</t>
  </si>
  <si>
    <t xml:space="preserve">Prix moyen de l'électricité pour un professionnel consommant 20 à 499 MWh par an, hors TVA, 1er semestre 2026 (Eurostat).</t>
  </si>
  <si>
    <t xml:space="preserve">Chauffage, ventilation et électricité du bâtiment (par an)</t>
  </si>
  <si>
    <t xml:space="preserve">Estimation : chauffage, ventilation et électricité du bâtiment. Aucune référence publique trouvée : à remplacer par l'étude thermique.</t>
  </si>
  <si>
    <t xml:space="preserve">Logiciel de réservation : commission (% des réservations)</t>
  </si>
  <si>
    <t xml:space="preserve">Pas de commission du logiciel lui-même : elle est comptée avec les frais de paiement.</t>
  </si>
  <si>
    <t xml:space="preserve">Logiciel de réservation : abonnement annuel</t>
  </si>
  <si>
    <t xml:space="preserve">Doinsport, offre clubs privés : à partir de 179 € par mois (doinsport.com).</t>
  </si>
  <si>
    <t xml:space="preserve">Commissions carte bancaire (% des encaissements TTC)</t>
  </si>
  <si>
    <t xml:space="preserve">Frais de paiement en ligne : 3,5 % (exemple publié par Playtomic), appliqués par prudence à tous les encaissements.</t>
  </si>
  <si>
    <t xml:space="preserve">Assurances (multirisque, responsabilité civile)</t>
  </si>
  <si>
    <t xml:space="preserve">Estimation : multirisque et responsabilité civile.</t>
  </si>
  <si>
    <t xml:space="preserve">Expert-comptable, avec la paie</t>
  </si>
  <si>
    <t xml:space="preserve">Estimation : comptabilité, bilan et paie de deux salariés.</t>
  </si>
  <si>
    <t xml:space="preserve">Nettoyage (prestataire)</t>
  </si>
  <si>
    <t xml:space="preserve">Estimation : prestataire, passage quotidien.</t>
  </si>
  <si>
    <t xml:space="preserve">Entretien des pistes et du bâtiment</t>
  </si>
  <si>
    <t xml:space="preserve">Estimation : brossage et sable des gazons, réparations, bâtiment.</t>
  </si>
  <si>
    <t xml:space="preserve">Télésurveillance et abonnements du contrôle d'accès</t>
  </si>
  <si>
    <t xml:space="preserve">Estimation : télésurveillance et abonnements du contrôle d'accès.</t>
  </si>
  <si>
    <t xml:space="preserve">Communication et animation (tournois, réseaux)</t>
  </si>
  <si>
    <t xml:space="preserve">Estimation : réseaux sociaux, tournois, animations.</t>
  </si>
  <si>
    <t xml:space="preserve">Téléphone et internet</t>
  </si>
  <si>
    <t xml:space="preserve">Fournitures, petit matériel, honoraires divers</t>
  </si>
  <si>
    <t xml:space="preserve">Estimation : fournitures, petit matériel, honoraires divers.</t>
  </si>
  <si>
    <t xml:space="preserve">Hausse annuelle des charges</t>
  </si>
  <si>
    <t xml:space="preserve">Impôts et taxes, année 1</t>
  </si>
  <si>
    <t xml:space="preserve">CFE exonérée l'année de création (service-public.fr, fiche F23547).</t>
  </si>
  <si>
    <t xml:space="preserve">Impôts et taxes à partir de l'année 2</t>
  </si>
  <si>
    <t xml:space="preserve">Estimation : CFE, avec une base réduite de moitié la deuxième année.</t>
  </si>
  <si>
    <t xml:space="preserve">Personnel</t>
  </si>
  <si>
    <t xml:space="preserve">Agent d'accueil et d'entretien, temps plein (brut annuel)</t>
  </si>
  <si>
    <t xml:space="preserve">Convention collective du sport, groupe 3, temps plein : 1 997,87 € brut par mois au 1er janvier 2026, plus 2 % de prudence pour 2027.</t>
  </si>
  <si>
    <t xml:space="preserve">Accueil du week-end, mi-temps (brut annuel)</t>
  </si>
  <si>
    <t xml:space="preserve">Groupe 2, mi-temps le week-end : 1 885,14 € brut par mois à temps plein au 1er janvier 2026, plus 2 %.</t>
  </si>
  <si>
    <t xml:space="preserve">Taux de charges patronales</t>
  </si>
  <si>
    <t xml:space="preserve">Estimation, après réduction générale des cotisations.</t>
  </si>
  <si>
    <t xml:space="preserve">Hausse annuelle des salaires</t>
  </si>
  <si>
    <t xml:space="preserve">Rémunération nette du président, année 1</t>
  </si>
  <si>
    <t xml:space="preserve">1 800 € net par mois, volontairement modeste au démarrage (budget personnel joint).</t>
  </si>
  <si>
    <t xml:space="preserve">Rémunération nette du président, année 2</t>
  </si>
  <si>
    <t xml:space="preserve">2 200 € net par mois.</t>
  </si>
  <si>
    <t xml:space="preserve">Rémunération nette du président, année 3</t>
  </si>
  <si>
    <t xml:space="preserve">2 500 € net par mois.</t>
  </si>
  <si>
    <t xml:space="preserve">Rémunération nette normative d'un directeur de club</t>
  </si>
  <si>
    <t xml:space="preserve">Salaire normatif d'un directeur de club : 3 000 € net par mois. Sert au calcul de couverture que fait le banquier.</t>
  </si>
  <si>
    <t xml:space="preserve">Cotisations du président (% du net, assimilé salarié)</t>
  </si>
  <si>
    <t xml:space="preserve">Président de SAS, assimilé salarié : environ 75 à 80 % du net.</t>
  </si>
  <si>
    <t xml:space="preserve">Amortissements et renouvellement</t>
  </si>
  <si>
    <t xml:space="preserve">Durée d'amortissement des pistes (ans)</t>
  </si>
  <si>
    <t xml:space="preserve">Estimation de durée d'usage.</t>
  </si>
  <si>
    <t xml:space="preserve">Durée d'amortissement des aménagements et du chauffage (ans)</t>
  </si>
  <si>
    <t xml:space="preserve">Durée du bail.</t>
  </si>
  <si>
    <t xml:space="preserve">Durée d'amortissement des équipements et du mobilier (ans)</t>
  </si>
  <si>
    <t xml:space="preserve">Usage.</t>
  </si>
  <si>
    <t xml:space="preserve">Durée d'amortissement des frais de démarrage (ans)</t>
  </si>
  <si>
    <t xml:space="preserve">Frais de premier établissement.</t>
  </si>
  <si>
    <t xml:space="preserve">Renouvellement à partir de l'année 2 (% du CA)</t>
  </si>
  <si>
    <t xml:space="preserve">Estimation : gazons, filets, mobilier, environ 1,5 % du CA par an.</t>
  </si>
  <si>
    <t xml:space="preserve">Impôt sur les sociétés</t>
  </si>
  <si>
    <t xml:space="preserve">Taux réduit d'IS</t>
  </si>
  <si>
    <t xml:space="preserve">Taux réduit des PME.</t>
  </si>
  <si>
    <t xml:space="preserve">Plafond du bénéfice au taux réduit</t>
  </si>
  <si>
    <t xml:space="preserve">Plafond du taux réduit.</t>
  </si>
  <si>
    <t xml:space="preserve">Taux normal d'IS</t>
  </si>
  <si>
    <t xml:space="preserve">Scénarios d'occupation (écart avec le scénario central, année 1)</t>
  </si>
  <si>
    <t xml:space="preserve">Scénario bas : heures pleines</t>
  </si>
  <si>
    <t xml:space="preserve">Scénario bas : 25 % en heures pleines.</t>
  </si>
  <si>
    <t xml:space="preserve">Scénario bas : heures creuses</t>
  </si>
  <si>
    <t xml:space="preserve">Et 9 % en heures creuses, soit 20 % en moyenne, bien sous la moyenne nationale.</t>
  </si>
  <si>
    <t xml:space="preserve">Scénario haut : heures pleines</t>
  </si>
  <si>
    <t xml:space="preserve">Scénario haut : 38 % en heures pleines.</t>
  </si>
  <si>
    <t xml:space="preserve">Scénario haut : heures creuses</t>
  </si>
  <si>
    <t xml:space="preserve">Et 16 % en heures creuses.</t>
  </si>
  <si>
    <t xml:space="preserve">Répartition du chiffre d'affaires de l'année 1 par mois (ouverture en septembre)</t>
  </si>
  <si>
    <t xml:space="preserve">Septembre</t>
  </si>
  <si>
    <t xml:space="preserve">Estimation : montée en charge des premiers mois, saison d'un club couvert (creux en juillet et août). Aucune source publique sur la première année d'un club.</t>
  </si>
  <si>
    <t xml:space="preserve">Octobre</t>
  </si>
  <si>
    <t xml:space="preserve">Novembre</t>
  </si>
  <si>
    <t xml:space="preserve">Décembre</t>
  </si>
  <si>
    <t xml:space="preserve">Janvier</t>
  </si>
  <si>
    <t xml:space="preserve">Février</t>
  </si>
  <si>
    <t xml:space="preserve">Mars</t>
  </si>
  <si>
    <t xml:space="preserve">Avril</t>
  </si>
  <si>
    <t xml:space="preserve">Mai</t>
  </si>
  <si>
    <t xml:space="preserve">Juin</t>
  </si>
  <si>
    <t xml:space="preserve">Juillet</t>
  </si>
  <si>
    <t xml:space="preserve">Août</t>
  </si>
  <si>
    <t xml:space="preserve">Total (doit faire 100 %)</t>
  </si>
  <si>
    <t xml:space="preserve">Capacité, occupation et chiffre d'affaires</t>
  </si>
  <si>
    <t xml:space="preserve">Créneaux disponibles en heures pleines</t>
  </si>
  <si>
    <t xml:space="preserve">Créneaux disponibles en heures creuses</t>
  </si>
  <si>
    <t xml:space="preserve">Taux d'occupation, heures pleines</t>
  </si>
  <si>
    <t xml:space="preserve">Taux d'occupation, heures creuses</t>
  </si>
  <si>
    <t xml:space="preserve">Créneaux réservés, heures pleines</t>
  </si>
  <si>
    <t xml:space="preserve">Créneaux réservés, heures creuses</t>
  </si>
  <si>
    <t xml:space="preserve">Créneaux réservés au total</t>
  </si>
  <si>
    <t xml:space="preserve">Créneaux réservés par jour d'ouverture</t>
  </si>
  <si>
    <t xml:space="preserve">Joueurs accueillis dans l'année</t>
  </si>
  <si>
    <t xml:space="preserve">Prix d'un créneau HT, heures pleines</t>
  </si>
  <si>
    <t xml:space="preserve">Prix d'un créneau HT, heures creuses</t>
  </si>
  <si>
    <t xml:space="preserve">Location des pistes, heures pleines</t>
  </si>
  <si>
    <t xml:space="preserve">Location des pistes, heures creuses</t>
  </si>
  <si>
    <t xml:space="preserve">Location des pistes</t>
  </si>
  <si>
    <t xml:space="preserve">Bar et distributeurs</t>
  </si>
  <si>
    <t xml:space="preserve">Boutique et location de raquettes</t>
  </si>
  <si>
    <t xml:space="preserve">Chiffre d'affaires total</t>
  </si>
  <si>
    <t xml:space="preserve">Achats du bar</t>
  </si>
  <si>
    <t xml:space="preserve">Achats de la boutique</t>
  </si>
  <si>
    <t xml:space="preserve">Achats consommés</t>
  </si>
  <si>
    <t xml:space="preserve">Heures d'éclairage des pistes</t>
  </si>
  <si>
    <t xml:space="preserve">Investissements, plan de financement initial et prêt</t>
  </si>
  <si>
    <t xml:space="preserve">Besoins avant l'ouverture (HT)</t>
  </si>
  <si>
    <t xml:space="preserve">Montant</t>
  </si>
  <si>
    <t xml:space="preserve">Amorti sur</t>
  </si>
  <si>
    <t xml:space="preserve">Pistes de padel posées</t>
  </si>
  <si>
    <t xml:space="preserve">Aménagements intérieurs</t>
  </si>
  <si>
    <t xml:space="preserve">Chauffage et ventilation</t>
  </si>
  <si>
    <t xml:space="preserve">Contrôle d'accès, vidéo, wifi, caisse</t>
  </si>
  <si>
    <t xml:space="preserve">Mobilier et distributeurs</t>
  </si>
  <si>
    <t xml:space="preserve">Honoraires de l'agence</t>
  </si>
  <si>
    <t xml:space="preserve">Constitution de la société, frais juridiques</t>
  </si>
  <si>
    <t xml:space="preserve">Charges locatives pendant les travaux</t>
  </si>
  <si>
    <t xml:space="preserve">Dépôt de garantie</t>
  </si>
  <si>
    <t xml:space="preserve">Stock de départ</t>
  </si>
  <si>
    <t xml:space="preserve">TVA avancée sur investissements et frais (remboursée)</t>
  </si>
  <si>
    <t xml:space="preserve">Trésorerie disponible à l'ouverture</t>
  </si>
  <si>
    <t xml:space="preserve">Total des besoins</t>
  </si>
  <si>
    <t xml:space="preserve">Ressources</t>
  </si>
  <si>
    <t xml:space="preserve">Part</t>
  </si>
  <si>
    <t xml:space="preserve">Capital</t>
  </si>
  <si>
    <t xml:space="preserve">Comptes courants d'associés bloqués</t>
  </si>
  <si>
    <t xml:space="preserve">Prêts d'honneur des associés (en compte courant)</t>
  </si>
  <si>
    <t xml:space="preserve">Prêt bancaire</t>
  </si>
  <si>
    <t xml:space="preserve">Crédit relais de TVA (remboursé quand la TVA revient)</t>
  </si>
  <si>
    <t xml:space="preserve">Total des ressources</t>
  </si>
  <si>
    <t xml:space="preserve">Apport des associés (capital et comptes courants)</t>
  </si>
  <si>
    <t xml:space="preserve">En % du financement à long terme (hors crédit relais de TVA).</t>
  </si>
  <si>
    <t xml:space="preserve">Apport et prêts d'honneur (quasi-fonds propres)</t>
  </si>
  <si>
    <t xml:space="preserve">Les banques demandent souvent au moins 30 %.</t>
  </si>
  <si>
    <t xml:space="preserve">Part du prêt bancaire</t>
  </si>
  <si>
    <t xml:space="preserve">Échéancier mensuel du prêt bancaire</t>
  </si>
  <si>
    <t xml:space="preserve">Mois 1 = mois d'ouverture. Pendant le différé, seuls les intérêts sont payés ; ensuite, mensualités constantes.</t>
  </si>
  <si>
    <t xml:space="preserve">Mois</t>
  </si>
  <si>
    <t xml:space="preserve">Année</t>
  </si>
  <si>
    <t xml:space="preserve">Capital en début de mois</t>
  </si>
  <si>
    <t xml:space="preserve">Intérêts</t>
  </si>
  <si>
    <t xml:space="preserve">Capital remboursé</t>
  </si>
  <si>
    <t xml:space="preserve">Mensualité</t>
  </si>
  <si>
    <t xml:space="preserve">Capital en fin de mois</t>
  </si>
  <si>
    <t xml:space="preserve">Assurance</t>
  </si>
  <si>
    <t xml:space="preserve">Garantie Bpifrance</t>
  </si>
  <si>
    <t xml:space="preserve">Compte de résultat prévisionnel sur 3 ans</t>
  </si>
  <si>
    <t xml:space="preserve">En euros HT</t>
  </si>
  <si>
    <t xml:space="preserve">   Location des pistes</t>
  </si>
  <si>
    <t xml:space="preserve">   Bar et distributeurs</t>
  </si>
  <si>
    <t xml:space="preserve">   Boutique et raquettes</t>
  </si>
  <si>
    <t xml:space="preserve">Achats consommés (bar et boutique)</t>
  </si>
  <si>
    <t xml:space="preserve">Marge brute</t>
  </si>
  <si>
    <t xml:space="preserve">   Loyer</t>
  </si>
  <si>
    <t xml:space="preserve">   Charges locatives et taxe foncière</t>
  </si>
  <si>
    <t xml:space="preserve">   Électricité de l'éclairage des pistes</t>
  </si>
  <si>
    <t xml:space="preserve">   Chauffage, ventilation, électricité du bâtiment</t>
  </si>
  <si>
    <t xml:space="preserve">   Logiciel de réservation</t>
  </si>
  <si>
    <t xml:space="preserve">   Commissions carte bancaire</t>
  </si>
  <si>
    <t xml:space="preserve">   Assurances</t>
  </si>
  <si>
    <t xml:space="preserve">   Expert-comptable et paie</t>
  </si>
  <si>
    <t xml:space="preserve">   Nettoyage</t>
  </si>
  <si>
    <t xml:space="preserve">   Entretien des pistes et du bâtiment</t>
  </si>
  <si>
    <t xml:space="preserve">   Télésurveillance et contrôle d'accès</t>
  </si>
  <si>
    <t xml:space="preserve">   Communication et animation</t>
  </si>
  <si>
    <t xml:space="preserve">   Téléphone et internet</t>
  </si>
  <si>
    <t xml:space="preserve">   Fournitures et divers</t>
  </si>
  <si>
    <t xml:space="preserve">Total des charges externes</t>
  </si>
  <si>
    <t xml:space="preserve">Valeur ajoutée</t>
  </si>
  <si>
    <t xml:space="preserve">Impôts et taxes</t>
  </si>
  <si>
    <t xml:space="preserve">Salaires bruts de l'équipe</t>
  </si>
  <si>
    <t xml:space="preserve">Charges patronales</t>
  </si>
  <si>
    <t xml:space="preserve">Rémunération du président</t>
  </si>
  <si>
    <t xml:space="preserve">Cotisations du président</t>
  </si>
  <si>
    <t xml:space="preserve">Excédent brut d'exploitation (EBE)</t>
  </si>
  <si>
    <t xml:space="preserve">   Amortissement des pistes et de l'éclairage</t>
  </si>
  <si>
    <t xml:space="preserve">   Amortissement des aménagements et du chauffage</t>
  </si>
  <si>
    <t xml:space="preserve">   Amortissement des équipements et du mobilier</t>
  </si>
  <si>
    <t xml:space="preserve">   Amortissement des frais de démarrage</t>
  </si>
  <si>
    <t xml:space="preserve">   Amortissement du renouvellement</t>
  </si>
  <si>
    <t xml:space="preserve">Total des amortissements</t>
  </si>
  <si>
    <t xml:space="preserve">Résultat d'exploitation</t>
  </si>
  <si>
    <t xml:space="preserve">Intérêts d'emprunt</t>
  </si>
  <si>
    <t xml:space="preserve">Assurance emprunteur</t>
  </si>
  <si>
    <t xml:space="preserve">Résultat avant impôt</t>
  </si>
  <si>
    <t xml:space="preserve">Capacité d'autofinancement (résultat net + amortissements)</t>
  </si>
  <si>
    <t xml:space="preserve">Remboursement du capital de l'emprunt</t>
  </si>
  <si>
    <t xml:space="preserve">Échéances du prêt (capital, intérêts, assurance, garantie)</t>
  </si>
  <si>
    <t xml:space="preserve">CAF après remboursement du capital</t>
  </si>
  <si>
    <t xml:space="preserve">Couverture des échéances : (EBE - IS) / échéances</t>
  </si>
  <si>
    <t xml:space="preserve">Même couverture, président payé au salaire normatif</t>
  </si>
  <si>
    <t xml:space="preserve">CAF / capital remboursé</t>
  </si>
  <si>
    <t xml:space="preserve">Échéances / EBE</t>
  </si>
  <si>
    <t xml:space="preserve">Dette bancaire restante en années de CAF</t>
  </si>
  <si>
    <t xml:space="preserve">Dette bancaire / (capitaux propres + comptes courants)</t>
  </si>
  <si>
    <t xml:space="preserve">Marge brute en % du CA</t>
  </si>
  <si>
    <t xml:space="preserve">Charges externes en % du CA</t>
  </si>
  <si>
    <t xml:space="preserve">Loyer et charges locatives en % du CA</t>
  </si>
  <si>
    <t xml:space="preserve">Frais de personnel en % du CA</t>
  </si>
  <si>
    <t xml:space="preserve">EBE en % du CA</t>
  </si>
  <si>
    <t xml:space="preserve">Résultat net en % du CA</t>
  </si>
  <si>
    <t xml:space="preserve">Plan de trésorerie mensuel de l'année 1</t>
  </si>
  <si>
    <t xml:space="preserve">Ventes encaissées au comptant (réservation payée en ligne), achats payés dans le mois. Loyer payé par trimestre d'avance. TVA d'exploitation neutre sur l'année ; TVA sur investissements avancée puis remboursée. L'IS de l'année 1 est payé en année 2.</t>
  </si>
  <si>
    <t xml:space="preserve">En euros</t>
  </si>
  <si>
    <t xml:space="preserve">Avant l'ouverture</t>
  </si>
  <si>
    <t xml:space="preserve">Total</t>
  </si>
  <si>
    <t xml:space="preserve">Trésorerie en début de mois</t>
  </si>
  <si>
    <t xml:space="preserve">Ventes</t>
  </si>
  <si>
    <t xml:space="preserve">Capital et comptes courants</t>
  </si>
  <si>
    <t xml:space="preserve">Prêts d'honneur apportés</t>
  </si>
  <si>
    <t xml:space="preserve">Prêt bancaire et crédit relais de TVA</t>
  </si>
  <si>
    <t xml:space="preserve">Remboursement de la TVA sur investissements</t>
  </si>
  <si>
    <t xml:space="preserve">Total des encaissements</t>
  </si>
  <si>
    <t xml:space="preserve">Investissements, frais, dépôt et stock</t>
  </si>
  <si>
    <t xml:space="preserve">TVA avancée, puis remboursement du crédit relais</t>
  </si>
  <si>
    <t xml:space="preserve">Achats du bar et de la boutique</t>
  </si>
  <si>
    <t xml:space="preserve">Loyer (par trimestre d'avance)</t>
  </si>
  <si>
    <t xml:space="preserve">Autres charges externes</t>
  </si>
  <si>
    <t xml:space="preserve">Salaires et charges patronales</t>
  </si>
  <si>
    <t xml:space="preserve">Rémunération et cotisations du président</t>
  </si>
  <si>
    <t xml:space="preserve">Mensualité du prêt (intérêts et capital)</t>
  </si>
  <si>
    <t xml:space="preserve">Assurance emprunteur et garantie</t>
  </si>
  <si>
    <t xml:space="preserve">Total des décaissements</t>
  </si>
  <si>
    <t xml:space="preserve">Trésorerie en fin de mois</t>
  </si>
  <si>
    <t xml:space="preserve">Trésorerie la plus basse après l'ouverture</t>
  </si>
  <si>
    <t xml:space="preserve">Mois où elle est atteinte</t>
  </si>
  <si>
    <t xml:space="preserve">Plan de financement sur 3 ans (vue annuelle)</t>
  </si>
  <si>
    <t xml:space="preserve">Emplois</t>
  </si>
  <si>
    <t xml:space="preserve">Investissements, frais, dépôt et stock de départ</t>
  </si>
  <si>
    <t xml:space="preserve">Renouvellement des équipements</t>
  </si>
  <si>
    <t xml:space="preserve">Impôt sur les sociétés payé (celui de l'année précédente)</t>
  </si>
  <si>
    <t xml:space="preserve">Total des emplois</t>
  </si>
  <si>
    <t xml:space="preserve">Capacité d'autofinancement avant impôt</t>
  </si>
  <si>
    <t xml:space="preserve">Solde de l'année</t>
  </si>
  <si>
    <t xml:space="preserve">Trésorerie en fin d'année</t>
  </si>
  <si>
    <t xml:space="preserve">Contrôle : trésorerie de fin d'année 1 identique au plan mensuel</t>
  </si>
  <si>
    <t xml:space="preserve">La TVA avancée sur les investissements est remboursée dans l'année 1 : elle n'apparaît pas dans cette vue annuelle.</t>
  </si>
  <si>
    <t xml:space="preserve">Bilan prévisionnel simplifié</t>
  </si>
  <si>
    <t xml:space="preserve">Actif</t>
  </si>
  <si>
    <t xml:space="preserve">Ouverture</t>
  </si>
  <si>
    <t xml:space="preserve">Fin année 1</t>
  </si>
  <si>
    <t xml:space="preserve">Fin année 2</t>
  </si>
  <si>
    <t xml:space="preserve">Fin année 3</t>
  </si>
  <si>
    <t xml:space="preserve">Immobilisations brutes (investissements et frais)</t>
  </si>
  <si>
    <t xml:space="preserve">Amortissements cumulés</t>
  </si>
  <si>
    <t xml:space="preserve">Immobilisations nettes</t>
  </si>
  <si>
    <t xml:space="preserve">Stock</t>
  </si>
  <si>
    <t xml:space="preserve">Créance de TVA sur investissements</t>
  </si>
  <si>
    <t xml:space="preserve">Trésorerie</t>
  </si>
  <si>
    <t xml:space="preserve">Total de l'actif</t>
  </si>
  <si>
    <t xml:space="preserve">Passif</t>
  </si>
  <si>
    <t xml:space="preserve">Résultats des années précédentes</t>
  </si>
  <si>
    <t xml:space="preserve">Résultat de l'année</t>
  </si>
  <si>
    <t xml:space="preserve">Capitaux propres</t>
  </si>
  <si>
    <t xml:space="preserve">Comptes courants d'associés (dont prêts d'honneur)</t>
  </si>
  <si>
    <t xml:space="preserve">Emprunts bancaires (à l'ouverture : avec le crédit relais de TVA)</t>
  </si>
  <si>
    <t xml:space="preserve">Dette d'impôt sur les sociétés</t>
  </si>
  <si>
    <t xml:space="preserve">Total du passif</t>
  </si>
  <si>
    <t xml:space="preserve">Contrôle : actif = passif</t>
  </si>
  <si>
    <t xml:space="preserve">Points morts, scénarios et sensibilité (année 1)</t>
  </si>
  <si>
    <t xml:space="preserve">Marge sur coûts variables d'un créneau réservé, heures pleines</t>
  </si>
  <si>
    <t xml:space="preserve">Marge sur coûts variables d'un créneau réservé, heures creuses</t>
  </si>
  <si>
    <t xml:space="preserve">Marge sur coûts variables de l'année 1</t>
  </si>
  <si>
    <t xml:space="preserve">Charges fixes de l'année 1 (hors amortissements)</t>
  </si>
  <si>
    <t xml:space="preserve">Amortissements et frais financiers de l'année 1</t>
  </si>
  <si>
    <t xml:space="preserve">Point mort comptable (résultat nul) : occupation moyenne nécessaire</t>
  </si>
  <si>
    <t xml:space="preserve">Point mort de trésorerie (échéances payées) : occupation moyenne nécessaire</t>
  </si>
  <si>
    <t xml:space="preserve">Occupation moyenne prévue en année 1</t>
  </si>
  <si>
    <t xml:space="preserve">Point mort de trésorerie en année 2 (échéances complètes)</t>
  </si>
  <si>
    <t xml:space="preserve">Approximation : coûts variables de l'année 2 réduits aux achats.</t>
  </si>
  <si>
    <t xml:space="preserve">Scénario (année 1)</t>
  </si>
  <si>
    <t xml:space="preserve">Occupation HP</t>
  </si>
  <si>
    <t xml:space="preserve">Occupation HC</t>
  </si>
  <si>
    <t xml:space="preserve">Occupation moyenne</t>
  </si>
  <si>
    <t xml:space="preserve">EBE</t>
  </si>
  <si>
    <t xml:space="preserve">Couverture des échéances, année 2</t>
  </si>
  <si>
    <t xml:space="preserve">Trésorerie au plus bas</t>
  </si>
  <si>
    <t xml:space="preserve">Bas</t>
  </si>
  <si>
    <t xml:space="preserve">Central</t>
  </si>
  <si>
    <t xml:space="preserve">Haut</t>
  </si>
  <si>
    <t xml:space="preserve">Sensibilité (scénario central)</t>
  </si>
  <si>
    <t xml:space="preserve">Effet sur l'EBE, année 1</t>
  </si>
  <si>
    <t xml:space="preserve">Intérêts en plus, année 1</t>
  </si>
  <si>
    <t xml:space="preserve">Couverture, année 1</t>
  </si>
  <si>
    <t xml:space="preserve">Couverture, année 2</t>
  </si>
  <si>
    <t xml:space="preserve">Énergie : +30 %</t>
  </si>
  <si>
    <t xml:space="preserve">Taux du prêt : +1 point</t>
  </si>
  <si>
    <t xml:space="preserve">Personnel : un mi-temps de plus</t>
  </si>
  <si>
    <t xml:space="preserve">Loyer : +10 %</t>
  </si>
  <si>
    <t xml:space="preserve">Scénario combiné : occupation basse, énergie +30 %, taux +1 point</t>
  </si>
  <si>
    <t xml:space="preserve">Les scénarios font varier l'occupation de l'année 1 à prix constant ; le bar, la boutique, l'éclairage, la commission de réservation et les frais de carte suivent le nombre de créneaux. Le taux joue sur les intérêts (approximation sur l'année 1).</t>
  </si>
</sst>
</file>

<file path=xl/styles.xml><?xml version="1.0" encoding="utf-8"?>
<styleSheet xmlns="http://schemas.openxmlformats.org/spreadsheetml/2006/main">
  <numFmts count="13">
    <numFmt numFmtId="164" formatCode="General"/>
    <numFmt numFmtId="165" formatCode="0.0%;\-0.0%;\-"/>
    <numFmt numFmtId="166" formatCode="#,##0&quot; €&quot;;\-#,##0&quot; €&quot;;\-"/>
    <numFmt numFmtId="167" formatCode="0.00&quot; fois&quot;"/>
    <numFmt numFmtId="168" formatCode="0"/>
    <numFmt numFmtId="169" formatCode="#,##0.00&quot; €&quot;;\-#,##0.00&quot; €&quot;;\-"/>
    <numFmt numFmtId="170" formatCode="0.00%"/>
    <numFmt numFmtId="171" formatCode="#,##0"/>
    <numFmt numFmtId="172" formatCode="0.0"/>
    <numFmt numFmtId="173" formatCode="0.000&quot; €&quot;"/>
    <numFmt numFmtId="174" formatCode="\+0.0%;\-0.0%;0.0%"/>
    <numFmt numFmtId="175" formatCode="0&quot; ans&quot;"/>
    <numFmt numFmtId="176" formatCode="0.0&quot; ans&quot;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2304A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color theme="1"/>
      <name val="Arial"/>
      <family val="0"/>
      <charset val="1"/>
    </font>
    <font>
      <i val="true"/>
      <sz val="11"/>
      <name val="Arial"/>
      <family val="0"/>
      <charset val="1"/>
    </font>
    <font>
      <i val="true"/>
      <sz val="11"/>
      <color rgb="FFC00000"/>
      <name val="Arial"/>
      <family val="0"/>
      <charset val="1"/>
    </font>
    <font>
      <b val="true"/>
      <sz val="11"/>
      <name val="Arial"/>
      <family val="0"/>
      <charset val="1"/>
    </font>
    <font>
      <sz val="11"/>
      <name val="Arial"/>
      <family val="0"/>
      <charset val="1"/>
    </font>
    <font>
      <sz val="11"/>
      <color rgb="FF0000FF"/>
      <name val="Arial"/>
      <family val="0"/>
      <charset val="1"/>
    </font>
    <font>
      <sz val="9"/>
      <color rgb="FF595959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2304A"/>
        <bgColor rgb="FF333333"/>
      </patternFill>
    </fill>
    <fill>
      <patternFill patternType="solid">
        <fgColor rgb="FFE6EDF3"/>
        <bgColor rgb="FFF3F7E4"/>
      </patternFill>
    </fill>
    <fill>
      <patternFill patternType="solid">
        <fgColor rgb="FFF3F7E4"/>
        <bgColor rgb="FFE6EDF3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1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11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1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11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11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11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3" fontId="11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4" fontId="11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5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6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3F7E4"/>
      <rgbColor rgb="FFE6EDF3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12304A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2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2"/>
    <col collapsed="false" customWidth="true" hidden="false" outlineLevel="0" max="4" min="2" style="0" width="16"/>
  </cols>
  <sheetData>
    <row r="1" customFormat="false" ht="17.35" hidden="false" customHeight="false" outlineLevel="0" collapsed="false">
      <c r="A1" s="1" t="s">
        <v>0</v>
      </c>
    </row>
    <row r="3" customFormat="false" ht="15" hidden="false" customHeight="false" outlineLevel="0" collapsed="false">
      <c r="A3" s="2" t="s">
        <v>1</v>
      </c>
      <c r="B3" s="3" t="s">
        <v>2</v>
      </c>
      <c r="C3" s="3" t="s">
        <v>3</v>
      </c>
      <c r="D3" s="3" t="s">
        <v>4</v>
      </c>
    </row>
    <row r="4" customFormat="false" ht="15" hidden="false" customHeight="false" outlineLevel="0" collapsed="false">
      <c r="A4" s="4" t="s">
        <v>5</v>
      </c>
      <c r="B4" s="5" t="n">
        <f aca="false">Activité!B11</f>
        <v>0.272857142857143</v>
      </c>
      <c r="C4" s="5" t="n">
        <f aca="false">Activité!C11</f>
        <v>0.348571428571429</v>
      </c>
      <c r="D4" s="5" t="n">
        <f aca="false">Activité!D11</f>
        <v>0.385714285714286</v>
      </c>
    </row>
    <row r="5" customFormat="false" ht="15" hidden="false" customHeight="false" outlineLevel="0" collapsed="false">
      <c r="A5" s="4" t="s">
        <v>6</v>
      </c>
      <c r="B5" s="6" t="n">
        <f aca="false">'Compte de résultat'!B7</f>
        <v>509632.8</v>
      </c>
      <c r="C5" s="6" t="n">
        <f aca="false">'Compte de résultat'!C7</f>
        <v>663525.504</v>
      </c>
      <c r="D5" s="6" t="n">
        <f aca="false">'Compte de résultat'!D7</f>
        <v>747231.9264</v>
      </c>
    </row>
    <row r="6" customFormat="false" ht="15" hidden="false" customHeight="false" outlineLevel="0" collapsed="false">
      <c r="A6" s="4" t="s">
        <v>7</v>
      </c>
      <c r="B6" s="6" t="n">
        <f aca="false">'Compte de résultat'!B31</f>
        <v>45018.0048</v>
      </c>
      <c r="C6" s="6" t="n">
        <f aca="false">'Compte de résultat'!C31</f>
        <v>164018.488064</v>
      </c>
      <c r="D6" s="6" t="n">
        <f aca="false">'Compte de résultat'!D31</f>
        <v>225392.8939584</v>
      </c>
    </row>
    <row r="7" customFormat="false" ht="15" hidden="false" customHeight="false" outlineLevel="0" collapsed="false">
      <c r="A7" s="4" t="s">
        <v>8</v>
      </c>
      <c r="B7" s="6" t="n">
        <f aca="false">'Compte de résultat'!B44</f>
        <v>-58355.3285333333</v>
      </c>
      <c r="C7" s="6" t="n">
        <f aca="false">'Compte de résultat'!C44</f>
        <v>50190.1126980892</v>
      </c>
      <c r="D7" s="6" t="n">
        <f aca="false">'Compte de résultat'!D44</f>
        <v>97335.5929238714</v>
      </c>
    </row>
    <row r="8" customFormat="false" ht="15" hidden="false" customHeight="false" outlineLevel="0" collapsed="false">
      <c r="A8" s="4" t="s">
        <v>9</v>
      </c>
      <c r="B8" s="6" t="n">
        <f aca="false">'Compte de résultat'!B46</f>
        <v>18161.3381333333</v>
      </c>
      <c r="C8" s="6" t="n">
        <f aca="false">'Compte de résultat'!C46</f>
        <v>128697.355876756</v>
      </c>
      <c r="D8" s="6" t="n">
        <f aca="false">'Compte de résultat'!D46</f>
        <v>178084.531881738</v>
      </c>
    </row>
    <row r="9" customFormat="false" ht="15" hidden="false" customHeight="false" outlineLevel="0" collapsed="false">
      <c r="A9" s="4" t="s">
        <v>10</v>
      </c>
      <c r="B9" s="6" t="n">
        <f aca="false">'Compte de résultat'!B48</f>
        <v>26856.6666666667</v>
      </c>
      <c r="C9" s="6" t="n">
        <f aca="false">'Compte de résultat'!C48</f>
        <v>95924.9824811536</v>
      </c>
      <c r="D9" s="6" t="n">
        <f aca="false">'Compte de résultat'!D48</f>
        <v>95340.2091186685</v>
      </c>
    </row>
    <row r="10" customFormat="false" ht="15" hidden="false" customHeight="false" outlineLevel="0" collapsed="false">
      <c r="A10" s="4" t="s">
        <v>11</v>
      </c>
      <c r="B10" s="7" t="n">
        <f aca="false">'Compte de résultat'!B51</f>
        <v>1.67623202680899</v>
      </c>
      <c r="C10" s="7" t="n">
        <f aca="false">'Compte de résultat'!C51</f>
        <v>1.59452848682759</v>
      </c>
      <c r="D10" s="7" t="n">
        <f aca="false">'Compte de résultat'!D51</f>
        <v>2.08321719471544</v>
      </c>
    </row>
    <row r="12" customFormat="false" ht="15" hidden="false" customHeight="false" outlineLevel="0" collapsed="false">
      <c r="A12" s="2" t="s">
        <v>12</v>
      </c>
      <c r="B12" s="3" t="s">
        <v>13</v>
      </c>
    </row>
    <row r="13" customFormat="false" ht="15" hidden="false" customHeight="false" outlineLevel="0" collapsed="false">
      <c r="A13" s="4" t="s">
        <v>14</v>
      </c>
      <c r="B13" s="6" t="n">
        <f aca="false">Financement!B19</f>
        <v>827400</v>
      </c>
    </row>
    <row r="14" customFormat="false" ht="15" hidden="false" customHeight="false" outlineLevel="0" collapsed="false">
      <c r="A14" s="4" t="s">
        <v>15</v>
      </c>
      <c r="B14" s="6" t="n">
        <f aca="false">Financement!B25</f>
        <v>480000</v>
      </c>
    </row>
    <row r="15" customFormat="false" ht="15" hidden="false" customHeight="false" outlineLevel="0" collapsed="false">
      <c r="A15" s="4" t="s">
        <v>16</v>
      </c>
      <c r="B15" s="5" t="n">
        <f aca="false">Financement!B28</f>
        <v>0.293706293706294</v>
      </c>
    </row>
    <row r="16" customFormat="false" ht="15" hidden="false" customHeight="false" outlineLevel="0" collapsed="false">
      <c r="A16" s="4" t="s">
        <v>17</v>
      </c>
      <c r="B16" s="5" t="n">
        <f aca="false">Financement!B29</f>
        <v>0.328671328671329</v>
      </c>
    </row>
    <row r="17" customFormat="false" ht="15" hidden="false" customHeight="false" outlineLevel="0" collapsed="false">
      <c r="A17" s="4" t="s">
        <v>18</v>
      </c>
      <c r="B17" s="6" t="n">
        <f aca="false">Financement!B18</f>
        <v>86000</v>
      </c>
    </row>
    <row r="18" customFormat="false" ht="15" hidden="false" customHeight="false" outlineLevel="0" collapsed="false">
      <c r="A18" s="4" t="s">
        <v>19</v>
      </c>
      <c r="B18" s="6" t="n">
        <f aca="false">'Trésorerie année 1'!B25</f>
        <v>43562.1427733333</v>
      </c>
    </row>
    <row r="19" customFormat="false" ht="15" hidden="false" customHeight="false" outlineLevel="0" collapsed="false">
      <c r="A19" s="4" t="s">
        <v>20</v>
      </c>
      <c r="B19" s="5" t="n">
        <f aca="false">Scénarios!B10</f>
        <v>0.262108159390876</v>
      </c>
    </row>
    <row r="21" customFormat="false" ht="15" hidden="false" customHeight="false" outlineLevel="0" collapsed="false">
      <c r="A21" s="2" t="s">
        <v>21</v>
      </c>
      <c r="B21" s="3" t="s">
        <v>22</v>
      </c>
    </row>
    <row r="22" customFormat="false" ht="15" hidden="false" customHeight="false" outlineLevel="0" collapsed="false">
      <c r="A22" s="4" t="s">
        <v>23</v>
      </c>
      <c r="B22" s="4" t="str">
        <f aca="false">IF(ROUND(Hypothèses!$B$117,4)=1,"OK","À corriger")</f>
        <v>OK</v>
      </c>
    </row>
    <row r="23" customFormat="false" ht="15" hidden="false" customHeight="false" outlineLevel="0" collapsed="false">
      <c r="A23" s="4" t="s">
        <v>24</v>
      </c>
      <c r="B23" s="4" t="str">
        <f aca="false">Financement!B35</f>
        <v>OK</v>
      </c>
    </row>
    <row r="24" customFormat="false" ht="15" hidden="false" customHeight="false" outlineLevel="0" collapsed="false">
      <c r="A24" s="4" t="s">
        <v>25</v>
      </c>
      <c r="B24" s="4" t="str">
        <f aca="false">Financement!B33</f>
        <v>OK</v>
      </c>
    </row>
    <row r="25" customFormat="false" ht="15" hidden="false" customHeight="false" outlineLevel="0" collapsed="false">
      <c r="A25" s="4" t="s">
        <v>26</v>
      </c>
      <c r="B25" s="4" t="str">
        <f aca="false">Financement!B34</f>
        <v>OK</v>
      </c>
    </row>
    <row r="26" customFormat="false" ht="15" hidden="false" customHeight="false" outlineLevel="0" collapsed="false">
      <c r="A26" s="4" t="s">
        <v>27</v>
      </c>
      <c r="B26" s="4" t="str">
        <f aca="false">'Plan à 3 ans'!B20</f>
        <v>OK</v>
      </c>
    </row>
    <row r="27" customFormat="false" ht="15" hidden="false" customHeight="false" outlineLevel="0" collapsed="false">
      <c r="A27" s="4" t="s">
        <v>28</v>
      </c>
      <c r="B27" s="4" t="str">
        <f aca="false">IF(COUNTIF(Bilan!B23:E23,"OK")=4,"OK","À corriger")</f>
        <v>OK</v>
      </c>
    </row>
    <row r="28" customFormat="false" ht="15" hidden="false" customHeight="false" outlineLevel="0" collapsed="false">
      <c r="A28" s="4" t="s">
        <v>29</v>
      </c>
      <c r="B28" s="4" t="str">
        <f aca="false">IF('Trésorerie année 1'!B25&gt;=0,"OK","À corriger")</f>
        <v>OK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1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2"/>
    <col collapsed="false" customWidth="true" hidden="false" outlineLevel="0" max="2" min="2" style="0" width="14"/>
    <col collapsed="false" customWidth="true" hidden="false" outlineLevel="0" max="3" min="3" style="0" width="110"/>
  </cols>
  <sheetData>
    <row r="1" customFormat="false" ht="17.35" hidden="false" customHeight="false" outlineLevel="0" collapsed="false">
      <c r="A1" s="1" t="s">
        <v>30</v>
      </c>
    </row>
    <row r="2" customFormat="false" ht="15" hidden="false" customHeight="false" outlineLevel="0" collapsed="false">
      <c r="A2" s="8" t="s">
        <v>31</v>
      </c>
    </row>
    <row r="3" customFormat="false" ht="15" hidden="false" customHeight="false" outlineLevel="0" collapsed="false">
      <c r="A3" s="9" t="s">
        <v>32</v>
      </c>
    </row>
    <row r="5" customFormat="false" ht="15" hidden="false" customHeight="false" outlineLevel="0" collapsed="false">
      <c r="A5" s="10" t="s">
        <v>33</v>
      </c>
      <c r="B5" s="11"/>
      <c r="C5" s="11"/>
    </row>
    <row r="6" customFormat="false" ht="15" hidden="false" customHeight="false" outlineLevel="0" collapsed="false">
      <c r="A6" s="12" t="s">
        <v>34</v>
      </c>
      <c r="B6" s="13" t="n">
        <v>8</v>
      </c>
      <c r="C6" s="14" t="s">
        <v>35</v>
      </c>
    </row>
    <row r="7" customFormat="false" ht="15" hidden="false" customHeight="false" outlineLevel="0" collapsed="false">
      <c r="A7" s="12" t="s">
        <v>36</v>
      </c>
      <c r="B7" s="13" t="n">
        <v>50</v>
      </c>
      <c r="C7" s="14" t="s">
        <v>37</v>
      </c>
    </row>
    <row r="8" customFormat="false" ht="15" hidden="false" customHeight="false" outlineLevel="0" collapsed="false">
      <c r="A8" s="12" t="s">
        <v>38</v>
      </c>
      <c r="B8" s="13" t="n">
        <v>20</v>
      </c>
      <c r="C8" s="14" t="s">
        <v>39</v>
      </c>
    </row>
    <row r="9" customFormat="false" ht="15" hidden="false" customHeight="false" outlineLevel="0" collapsed="false">
      <c r="A9" s="12" t="s">
        <v>40</v>
      </c>
      <c r="B9" s="13" t="n">
        <v>51</v>
      </c>
      <c r="C9" s="14" t="s">
        <v>41</v>
      </c>
    </row>
    <row r="10" customFormat="false" ht="15" hidden="false" customHeight="false" outlineLevel="0" collapsed="false">
      <c r="A10" s="12" t="s">
        <v>42</v>
      </c>
      <c r="B10" s="13" t="n">
        <v>4</v>
      </c>
    </row>
    <row r="11" customFormat="false" ht="15" hidden="false" customHeight="false" outlineLevel="0" collapsed="false">
      <c r="A11" s="12" t="s">
        <v>43</v>
      </c>
      <c r="B11" s="15" t="n">
        <v>74</v>
      </c>
      <c r="C11" s="14" t="s">
        <v>44</v>
      </c>
    </row>
    <row r="12" customFormat="false" ht="15" hidden="false" customHeight="false" outlineLevel="0" collapsed="false">
      <c r="A12" s="12" t="s">
        <v>45</v>
      </c>
      <c r="B12" s="15" t="n">
        <v>54</v>
      </c>
      <c r="C12" s="14" t="s">
        <v>46</v>
      </c>
    </row>
    <row r="13" customFormat="false" ht="15" hidden="false" customHeight="false" outlineLevel="0" collapsed="false">
      <c r="A13" s="12" t="s">
        <v>47</v>
      </c>
      <c r="B13" s="16" t="n">
        <v>0.2</v>
      </c>
      <c r="C13" s="14" t="s">
        <v>48</v>
      </c>
    </row>
    <row r="14" customFormat="false" ht="15" hidden="false" customHeight="false" outlineLevel="0" collapsed="false">
      <c r="A14" s="12" t="s">
        <v>49</v>
      </c>
      <c r="B14" s="16" t="n">
        <v>0.02</v>
      </c>
      <c r="C14" s="14" t="s">
        <v>50</v>
      </c>
    </row>
    <row r="15" customFormat="false" ht="15" hidden="false" customHeight="false" outlineLevel="0" collapsed="false">
      <c r="A15" s="10" t="s">
        <v>51</v>
      </c>
      <c r="B15" s="11"/>
      <c r="C15" s="11"/>
    </row>
    <row r="16" customFormat="false" ht="15" hidden="false" customHeight="false" outlineLevel="0" collapsed="false">
      <c r="A16" s="12" t="s">
        <v>52</v>
      </c>
      <c r="B16" s="16" t="n">
        <v>0.33</v>
      </c>
      <c r="C16" s="14" t="s">
        <v>53</v>
      </c>
    </row>
    <row r="17" customFormat="false" ht="15" hidden="false" customHeight="false" outlineLevel="0" collapsed="false">
      <c r="A17" s="12" t="s">
        <v>54</v>
      </c>
      <c r="B17" s="16" t="n">
        <v>0.42</v>
      </c>
      <c r="C17" s="14" t="s">
        <v>55</v>
      </c>
    </row>
    <row r="18" customFormat="false" ht="15" hidden="false" customHeight="false" outlineLevel="0" collapsed="false">
      <c r="A18" s="12" t="s">
        <v>56</v>
      </c>
      <c r="B18" s="16" t="n">
        <v>0.46</v>
      </c>
      <c r="C18" s="14" t="s">
        <v>57</v>
      </c>
    </row>
    <row r="19" customFormat="false" ht="15" hidden="false" customHeight="false" outlineLevel="0" collapsed="false">
      <c r="A19" s="12" t="s">
        <v>58</v>
      </c>
      <c r="B19" s="16" t="n">
        <v>0.13</v>
      </c>
      <c r="C19" s="14" t="s">
        <v>59</v>
      </c>
    </row>
    <row r="20" customFormat="false" ht="15" hidden="false" customHeight="false" outlineLevel="0" collapsed="false">
      <c r="A20" s="12" t="s">
        <v>60</v>
      </c>
      <c r="B20" s="16" t="n">
        <v>0.17</v>
      </c>
      <c r="C20" s="14" t="s">
        <v>61</v>
      </c>
    </row>
    <row r="21" customFormat="false" ht="15" hidden="false" customHeight="false" outlineLevel="0" collapsed="false">
      <c r="A21" s="12" t="s">
        <v>62</v>
      </c>
      <c r="B21" s="16" t="n">
        <v>0.2</v>
      </c>
      <c r="C21" s="14" t="s">
        <v>61</v>
      </c>
    </row>
    <row r="22" customFormat="false" ht="15" hidden="false" customHeight="false" outlineLevel="0" collapsed="false">
      <c r="A22" s="10" t="s">
        <v>63</v>
      </c>
      <c r="B22" s="11"/>
      <c r="C22" s="11"/>
    </row>
    <row r="23" customFormat="false" ht="15" hidden="false" customHeight="false" outlineLevel="0" collapsed="false">
      <c r="A23" s="12" t="s">
        <v>64</v>
      </c>
      <c r="B23" s="15" t="n">
        <v>1</v>
      </c>
      <c r="C23" s="14" t="s">
        <v>65</v>
      </c>
    </row>
    <row r="24" customFormat="false" ht="15" hidden="false" customHeight="false" outlineLevel="0" collapsed="false">
      <c r="A24" s="12" t="s">
        <v>66</v>
      </c>
      <c r="B24" s="16" t="n">
        <v>0.45</v>
      </c>
      <c r="C24" s="14" t="s">
        <v>67</v>
      </c>
    </row>
    <row r="25" customFormat="false" ht="15" hidden="false" customHeight="false" outlineLevel="0" collapsed="false">
      <c r="A25" s="12" t="s">
        <v>68</v>
      </c>
      <c r="B25" s="15" t="n">
        <v>0.5</v>
      </c>
      <c r="C25" s="14" t="s">
        <v>69</v>
      </c>
    </row>
    <row r="26" customFormat="false" ht="15" hidden="false" customHeight="false" outlineLevel="0" collapsed="false">
      <c r="A26" s="12" t="s">
        <v>70</v>
      </c>
      <c r="B26" s="16" t="n">
        <v>0.6</v>
      </c>
      <c r="C26" s="14" t="s">
        <v>61</v>
      </c>
    </row>
    <row r="27" customFormat="false" ht="15" hidden="false" customHeight="false" outlineLevel="0" collapsed="false">
      <c r="A27" s="10" t="s">
        <v>71</v>
      </c>
      <c r="B27" s="11"/>
      <c r="C27" s="11"/>
    </row>
    <row r="28" customFormat="false" ht="15" hidden="false" customHeight="false" outlineLevel="0" collapsed="false">
      <c r="A28" s="12" t="s">
        <v>72</v>
      </c>
      <c r="B28" s="17" t="n">
        <v>35000</v>
      </c>
      <c r="C28" s="14" t="s">
        <v>73</v>
      </c>
    </row>
    <row r="29" customFormat="false" ht="15" hidden="false" customHeight="false" outlineLevel="0" collapsed="false">
      <c r="A29" s="12" t="s">
        <v>74</v>
      </c>
      <c r="B29" s="17" t="n">
        <v>0</v>
      </c>
      <c r="C29" s="14" t="s">
        <v>75</v>
      </c>
    </row>
    <row r="30" customFormat="false" ht="15" hidden="false" customHeight="false" outlineLevel="0" collapsed="false">
      <c r="A30" s="12" t="s">
        <v>76</v>
      </c>
      <c r="B30" s="17" t="n">
        <v>150000</v>
      </c>
      <c r="C30" s="14" t="s">
        <v>77</v>
      </c>
    </row>
    <row r="31" customFormat="false" ht="15" hidden="false" customHeight="false" outlineLevel="0" collapsed="false">
      <c r="A31" s="12" t="s">
        <v>78</v>
      </c>
      <c r="B31" s="17" t="n">
        <v>45000</v>
      </c>
      <c r="C31" s="14" t="s">
        <v>79</v>
      </c>
    </row>
    <row r="32" customFormat="false" ht="15" hidden="false" customHeight="false" outlineLevel="0" collapsed="false">
      <c r="A32" s="12" t="s">
        <v>80</v>
      </c>
      <c r="B32" s="17" t="n">
        <v>18500</v>
      </c>
      <c r="C32" s="14" t="s">
        <v>81</v>
      </c>
    </row>
    <row r="33" customFormat="false" ht="15" hidden="false" customHeight="false" outlineLevel="0" collapsed="false">
      <c r="A33" s="12" t="s">
        <v>82</v>
      </c>
      <c r="B33" s="17" t="n">
        <v>22000</v>
      </c>
      <c r="C33" s="14" t="s">
        <v>83</v>
      </c>
    </row>
    <row r="34" customFormat="false" ht="15" hidden="false" customHeight="false" outlineLevel="0" collapsed="false">
      <c r="A34" s="10" t="s">
        <v>84</v>
      </c>
      <c r="B34" s="11"/>
      <c r="C34" s="11"/>
    </row>
    <row r="35" customFormat="false" ht="15" hidden="false" customHeight="false" outlineLevel="0" collapsed="false">
      <c r="A35" s="12" t="s">
        <v>85</v>
      </c>
      <c r="B35" s="16" t="n">
        <v>0.2</v>
      </c>
      <c r="C35" s="14" t="s">
        <v>86</v>
      </c>
    </row>
    <row r="36" customFormat="false" ht="15" hidden="false" customHeight="false" outlineLevel="0" collapsed="false">
      <c r="A36" s="12" t="s">
        <v>87</v>
      </c>
      <c r="B36" s="17" t="n">
        <v>2500</v>
      </c>
      <c r="C36" s="14" t="s">
        <v>88</v>
      </c>
    </row>
    <row r="37" customFormat="false" ht="15" hidden="false" customHeight="false" outlineLevel="0" collapsed="false">
      <c r="A37" s="12" t="s">
        <v>89</v>
      </c>
      <c r="B37" s="17" t="n">
        <v>1500</v>
      </c>
      <c r="C37" s="14" t="s">
        <v>90</v>
      </c>
    </row>
    <row r="38" customFormat="false" ht="15" hidden="false" customHeight="false" outlineLevel="0" collapsed="false">
      <c r="A38" s="12" t="s">
        <v>91</v>
      </c>
      <c r="B38" s="13" t="n">
        <v>3</v>
      </c>
      <c r="C38" s="14" t="s">
        <v>92</v>
      </c>
    </row>
    <row r="39" customFormat="false" ht="15" hidden="false" customHeight="false" outlineLevel="0" collapsed="false">
      <c r="A39" s="12" t="s">
        <v>93</v>
      </c>
      <c r="B39" s="17" t="n">
        <v>6000</v>
      </c>
      <c r="C39" s="14" t="s">
        <v>94</v>
      </c>
    </row>
    <row r="40" customFormat="false" ht="15" hidden="false" customHeight="false" outlineLevel="0" collapsed="false">
      <c r="A40" s="12" t="s">
        <v>95</v>
      </c>
      <c r="B40" s="13" t="n">
        <v>3</v>
      </c>
      <c r="C40" s="14" t="s">
        <v>96</v>
      </c>
    </row>
    <row r="41" customFormat="false" ht="15" hidden="false" customHeight="false" outlineLevel="0" collapsed="false">
      <c r="A41" s="12" t="s">
        <v>97</v>
      </c>
      <c r="B41" s="17" t="n">
        <v>6000</v>
      </c>
      <c r="C41" s="14" t="s">
        <v>98</v>
      </c>
    </row>
    <row r="42" customFormat="false" ht="15" hidden="false" customHeight="false" outlineLevel="0" collapsed="false">
      <c r="A42" s="12" t="s">
        <v>99</v>
      </c>
      <c r="B42" s="16" t="n">
        <v>0.2</v>
      </c>
      <c r="C42" s="14" t="s">
        <v>100</v>
      </c>
    </row>
    <row r="43" customFormat="false" ht="15" hidden="false" customHeight="false" outlineLevel="0" collapsed="false">
      <c r="A43" s="12" t="s">
        <v>101</v>
      </c>
      <c r="B43" s="13" t="n">
        <v>2</v>
      </c>
      <c r="C43" s="14" t="s">
        <v>102</v>
      </c>
    </row>
    <row r="44" customFormat="false" ht="15" hidden="false" customHeight="false" outlineLevel="0" collapsed="false">
      <c r="A44" s="12" t="s">
        <v>103</v>
      </c>
      <c r="B44" s="17" t="n">
        <v>40000</v>
      </c>
      <c r="C44" s="14" t="s">
        <v>104</v>
      </c>
    </row>
    <row r="45" customFormat="false" ht="15" hidden="false" customHeight="false" outlineLevel="0" collapsed="false">
      <c r="A45" s="10" t="s">
        <v>12</v>
      </c>
      <c r="B45" s="11"/>
      <c r="C45" s="11"/>
    </row>
    <row r="46" customFormat="false" ht="15" hidden="false" customHeight="false" outlineLevel="0" collapsed="false">
      <c r="A46" s="12" t="s">
        <v>105</v>
      </c>
      <c r="B46" s="17" t="n">
        <v>30000</v>
      </c>
      <c r="C46" s="14" t="s">
        <v>106</v>
      </c>
    </row>
    <row r="47" customFormat="false" ht="15" hidden="false" customHeight="false" outlineLevel="0" collapsed="false">
      <c r="A47" s="12" t="s">
        <v>107</v>
      </c>
      <c r="B47" s="17" t="n">
        <v>180000</v>
      </c>
      <c r="C47" s="14" t="s">
        <v>108</v>
      </c>
    </row>
    <row r="48" customFormat="false" ht="15" hidden="false" customHeight="false" outlineLevel="0" collapsed="false">
      <c r="A48" s="12" t="s">
        <v>109</v>
      </c>
      <c r="B48" s="17" t="n">
        <v>25000</v>
      </c>
      <c r="C48" s="14" t="s">
        <v>110</v>
      </c>
    </row>
    <row r="49" customFormat="false" ht="15" hidden="false" customHeight="false" outlineLevel="0" collapsed="false">
      <c r="A49" s="12" t="s">
        <v>15</v>
      </c>
      <c r="B49" s="17" t="n">
        <v>480000</v>
      </c>
      <c r="C49" s="14" t="s">
        <v>111</v>
      </c>
    </row>
    <row r="50" customFormat="false" ht="15" hidden="false" customHeight="false" outlineLevel="0" collapsed="false">
      <c r="A50" s="12" t="s">
        <v>112</v>
      </c>
      <c r="B50" s="16" t="n">
        <v>0.043</v>
      </c>
      <c r="C50" s="14" t="s">
        <v>113</v>
      </c>
    </row>
    <row r="51" customFormat="false" ht="15" hidden="false" customHeight="false" outlineLevel="0" collapsed="false">
      <c r="A51" s="12" t="s">
        <v>114</v>
      </c>
      <c r="B51" s="13" t="n">
        <v>84</v>
      </c>
      <c r="C51" s="14" t="s">
        <v>115</v>
      </c>
    </row>
    <row r="52" customFormat="false" ht="15" hidden="false" customHeight="false" outlineLevel="0" collapsed="false">
      <c r="A52" s="12" t="s">
        <v>116</v>
      </c>
      <c r="B52" s="13" t="n">
        <v>12</v>
      </c>
      <c r="C52" s="14" t="s">
        <v>117</v>
      </c>
    </row>
    <row r="53" customFormat="false" ht="15" hidden="false" customHeight="false" outlineLevel="0" collapsed="false">
      <c r="A53" s="12" t="s">
        <v>118</v>
      </c>
      <c r="B53" s="18" t="n">
        <v>0.003</v>
      </c>
      <c r="C53" s="14" t="s">
        <v>119</v>
      </c>
    </row>
    <row r="54" customFormat="false" ht="15" hidden="false" customHeight="false" outlineLevel="0" collapsed="false">
      <c r="A54" s="12" t="s">
        <v>120</v>
      </c>
      <c r="B54" s="18" t="n">
        <v>0.008</v>
      </c>
      <c r="C54" s="14" t="s">
        <v>121</v>
      </c>
    </row>
    <row r="55" customFormat="false" ht="15" hidden="false" customHeight="false" outlineLevel="0" collapsed="false">
      <c r="A55" s="12" t="s">
        <v>122</v>
      </c>
      <c r="B55" s="13" t="n">
        <v>1</v>
      </c>
      <c r="C55" s="14" t="s">
        <v>123</v>
      </c>
    </row>
    <row r="56" customFormat="false" ht="15" hidden="false" customHeight="false" outlineLevel="0" collapsed="false">
      <c r="A56" s="12" t="s">
        <v>124</v>
      </c>
      <c r="B56" s="16" t="n">
        <v>0.05</v>
      </c>
      <c r="C56" s="14" t="s">
        <v>61</v>
      </c>
    </row>
    <row r="57" customFormat="false" ht="15" hidden="false" customHeight="false" outlineLevel="0" collapsed="false">
      <c r="A57" s="10" t="s">
        <v>125</v>
      </c>
      <c r="B57" s="11"/>
      <c r="C57" s="11"/>
    </row>
    <row r="58" customFormat="false" ht="15" hidden="false" customHeight="false" outlineLevel="0" collapsed="false">
      <c r="A58" s="12" t="s">
        <v>126</v>
      </c>
      <c r="B58" s="19" t="n">
        <v>2600</v>
      </c>
      <c r="C58" s="14" t="s">
        <v>127</v>
      </c>
    </row>
    <row r="59" customFormat="false" ht="15" hidden="false" customHeight="false" outlineLevel="0" collapsed="false">
      <c r="A59" s="12" t="s">
        <v>128</v>
      </c>
      <c r="B59" s="15" t="n">
        <v>75</v>
      </c>
      <c r="C59" s="14" t="s">
        <v>129</v>
      </c>
    </row>
    <row r="60" customFormat="false" ht="15" hidden="false" customHeight="false" outlineLevel="0" collapsed="false">
      <c r="A60" s="12" t="s">
        <v>130</v>
      </c>
      <c r="B60" s="15" t="n">
        <v>15</v>
      </c>
      <c r="C60" s="14" t="s">
        <v>131</v>
      </c>
    </row>
    <row r="61" customFormat="false" ht="15" hidden="false" customHeight="false" outlineLevel="0" collapsed="false">
      <c r="A61" s="12" t="s">
        <v>132</v>
      </c>
      <c r="B61" s="20" t="n">
        <v>1.6</v>
      </c>
      <c r="C61" s="14" t="s">
        <v>133</v>
      </c>
    </row>
    <row r="62" customFormat="false" ht="15" hidden="false" customHeight="false" outlineLevel="0" collapsed="false">
      <c r="A62" s="12" t="s">
        <v>134</v>
      </c>
      <c r="B62" s="21" t="n">
        <v>0.205</v>
      </c>
      <c r="C62" s="14" t="s">
        <v>135</v>
      </c>
    </row>
    <row r="63" customFormat="false" ht="15" hidden="false" customHeight="false" outlineLevel="0" collapsed="false">
      <c r="A63" s="12" t="s">
        <v>136</v>
      </c>
      <c r="B63" s="17" t="n">
        <v>30000</v>
      </c>
      <c r="C63" s="14" t="s">
        <v>137</v>
      </c>
    </row>
    <row r="64" customFormat="false" ht="15" hidden="false" customHeight="false" outlineLevel="0" collapsed="false">
      <c r="A64" s="12" t="s">
        <v>138</v>
      </c>
      <c r="B64" s="16" t="n">
        <v>0</v>
      </c>
      <c r="C64" s="14" t="s">
        <v>139</v>
      </c>
    </row>
    <row r="65" customFormat="false" ht="15" hidden="false" customHeight="false" outlineLevel="0" collapsed="false">
      <c r="A65" s="12" t="s">
        <v>140</v>
      </c>
      <c r="B65" s="17" t="n">
        <v>2148</v>
      </c>
      <c r="C65" s="14" t="s">
        <v>141</v>
      </c>
    </row>
    <row r="66" customFormat="false" ht="15" hidden="false" customHeight="false" outlineLevel="0" collapsed="false">
      <c r="A66" s="12" t="s">
        <v>142</v>
      </c>
      <c r="B66" s="16" t="n">
        <v>0.035</v>
      </c>
      <c r="C66" s="14" t="s">
        <v>143</v>
      </c>
    </row>
    <row r="67" customFormat="false" ht="15" hidden="false" customHeight="false" outlineLevel="0" collapsed="false">
      <c r="A67" s="12" t="s">
        <v>144</v>
      </c>
      <c r="B67" s="17" t="n">
        <v>9000</v>
      </c>
      <c r="C67" s="14" t="s">
        <v>145</v>
      </c>
    </row>
    <row r="68" customFormat="false" ht="15" hidden="false" customHeight="false" outlineLevel="0" collapsed="false">
      <c r="A68" s="12" t="s">
        <v>146</v>
      </c>
      <c r="B68" s="17" t="n">
        <v>6500</v>
      </c>
      <c r="C68" s="14" t="s">
        <v>147</v>
      </c>
    </row>
    <row r="69" customFormat="false" ht="15" hidden="false" customHeight="false" outlineLevel="0" collapsed="false">
      <c r="A69" s="12" t="s">
        <v>148</v>
      </c>
      <c r="B69" s="17" t="n">
        <v>18000</v>
      </c>
      <c r="C69" s="14" t="s">
        <v>149</v>
      </c>
    </row>
    <row r="70" customFormat="false" ht="15" hidden="false" customHeight="false" outlineLevel="0" collapsed="false">
      <c r="A70" s="12" t="s">
        <v>150</v>
      </c>
      <c r="B70" s="17" t="n">
        <v>10000</v>
      </c>
      <c r="C70" s="14" t="s">
        <v>151</v>
      </c>
    </row>
    <row r="71" customFormat="false" ht="15" hidden="false" customHeight="false" outlineLevel="0" collapsed="false">
      <c r="A71" s="12" t="s">
        <v>152</v>
      </c>
      <c r="B71" s="17" t="n">
        <v>3600</v>
      </c>
      <c r="C71" s="14" t="s">
        <v>153</v>
      </c>
    </row>
    <row r="72" customFormat="false" ht="15" hidden="false" customHeight="false" outlineLevel="0" collapsed="false">
      <c r="A72" s="12" t="s">
        <v>154</v>
      </c>
      <c r="B72" s="17" t="n">
        <v>10000</v>
      </c>
      <c r="C72" s="14" t="s">
        <v>155</v>
      </c>
    </row>
    <row r="73" customFormat="false" ht="15" hidden="false" customHeight="false" outlineLevel="0" collapsed="false">
      <c r="A73" s="12" t="s">
        <v>156</v>
      </c>
      <c r="B73" s="17" t="n">
        <v>1800</v>
      </c>
      <c r="C73" s="14" t="s">
        <v>61</v>
      </c>
    </row>
    <row r="74" customFormat="false" ht="15" hidden="false" customHeight="false" outlineLevel="0" collapsed="false">
      <c r="A74" s="12" t="s">
        <v>157</v>
      </c>
      <c r="B74" s="17" t="n">
        <v>6000</v>
      </c>
      <c r="C74" s="14" t="s">
        <v>158</v>
      </c>
    </row>
    <row r="75" customFormat="false" ht="15" hidden="false" customHeight="false" outlineLevel="0" collapsed="false">
      <c r="A75" s="12" t="s">
        <v>159</v>
      </c>
      <c r="B75" s="16" t="n">
        <v>0.02</v>
      </c>
      <c r="C75" s="14" t="s">
        <v>61</v>
      </c>
    </row>
    <row r="76" customFormat="false" ht="15" hidden="false" customHeight="false" outlineLevel="0" collapsed="false">
      <c r="A76" s="12" t="s">
        <v>160</v>
      </c>
      <c r="B76" s="17" t="n">
        <v>0</v>
      </c>
      <c r="C76" s="14" t="s">
        <v>161</v>
      </c>
    </row>
    <row r="77" customFormat="false" ht="15" hidden="false" customHeight="false" outlineLevel="0" collapsed="false">
      <c r="A77" s="12" t="s">
        <v>162</v>
      </c>
      <c r="B77" s="17" t="n">
        <v>4000</v>
      </c>
      <c r="C77" s="14" t="s">
        <v>163</v>
      </c>
    </row>
    <row r="78" customFormat="false" ht="15" hidden="false" customHeight="false" outlineLevel="0" collapsed="false">
      <c r="A78" s="10" t="s">
        <v>164</v>
      </c>
      <c r="B78" s="11"/>
      <c r="C78" s="11"/>
    </row>
    <row r="79" customFormat="false" ht="15" hidden="false" customHeight="false" outlineLevel="0" collapsed="false">
      <c r="A79" s="12" t="s">
        <v>165</v>
      </c>
      <c r="B79" s="17" t="n">
        <v>24455</v>
      </c>
      <c r="C79" s="14" t="s">
        <v>166</v>
      </c>
    </row>
    <row r="80" customFormat="false" ht="15" hidden="false" customHeight="false" outlineLevel="0" collapsed="false">
      <c r="A80" s="12" t="s">
        <v>167</v>
      </c>
      <c r="B80" s="17" t="n">
        <v>11537</v>
      </c>
      <c r="C80" s="14" t="s">
        <v>168</v>
      </c>
    </row>
    <row r="81" customFormat="false" ht="15" hidden="false" customHeight="false" outlineLevel="0" collapsed="false">
      <c r="A81" s="12" t="s">
        <v>169</v>
      </c>
      <c r="B81" s="16" t="n">
        <v>0.28</v>
      </c>
      <c r="C81" s="14" t="s">
        <v>170</v>
      </c>
    </row>
    <row r="82" customFormat="false" ht="15" hidden="false" customHeight="false" outlineLevel="0" collapsed="false">
      <c r="A82" s="12" t="s">
        <v>171</v>
      </c>
      <c r="B82" s="16" t="n">
        <v>0.02</v>
      </c>
      <c r="C82" s="14" t="s">
        <v>61</v>
      </c>
    </row>
    <row r="83" customFormat="false" ht="15" hidden="false" customHeight="false" outlineLevel="0" collapsed="false">
      <c r="A83" s="12" t="s">
        <v>172</v>
      </c>
      <c r="B83" s="17" t="n">
        <v>21600</v>
      </c>
      <c r="C83" s="14" t="s">
        <v>173</v>
      </c>
    </row>
    <row r="84" customFormat="false" ht="15" hidden="false" customHeight="false" outlineLevel="0" collapsed="false">
      <c r="A84" s="12" t="s">
        <v>174</v>
      </c>
      <c r="B84" s="17" t="n">
        <v>26400</v>
      </c>
      <c r="C84" s="14" t="s">
        <v>175</v>
      </c>
    </row>
    <row r="85" customFormat="false" ht="15" hidden="false" customHeight="false" outlineLevel="0" collapsed="false">
      <c r="A85" s="12" t="s">
        <v>176</v>
      </c>
      <c r="B85" s="17" t="n">
        <v>30000</v>
      </c>
      <c r="C85" s="14" t="s">
        <v>177</v>
      </c>
    </row>
    <row r="86" customFormat="false" ht="15" hidden="false" customHeight="false" outlineLevel="0" collapsed="false">
      <c r="A86" s="12" t="s">
        <v>178</v>
      </c>
      <c r="B86" s="17" t="n">
        <v>36000</v>
      </c>
      <c r="C86" s="14" t="s">
        <v>179</v>
      </c>
    </row>
    <row r="87" customFormat="false" ht="15" hidden="false" customHeight="false" outlineLevel="0" collapsed="false">
      <c r="A87" s="12" t="s">
        <v>180</v>
      </c>
      <c r="B87" s="16" t="n">
        <v>0.8</v>
      </c>
      <c r="C87" s="14" t="s">
        <v>181</v>
      </c>
    </row>
    <row r="88" customFormat="false" ht="15" hidden="false" customHeight="false" outlineLevel="0" collapsed="false">
      <c r="A88" s="10" t="s">
        <v>182</v>
      </c>
      <c r="B88" s="11"/>
      <c r="C88" s="11"/>
    </row>
    <row r="89" customFormat="false" ht="15" hidden="false" customHeight="false" outlineLevel="0" collapsed="false">
      <c r="A89" s="12" t="s">
        <v>183</v>
      </c>
      <c r="B89" s="13" t="n">
        <v>8</v>
      </c>
      <c r="C89" s="14" t="s">
        <v>184</v>
      </c>
    </row>
    <row r="90" customFormat="false" ht="15" hidden="false" customHeight="false" outlineLevel="0" collapsed="false">
      <c r="A90" s="12" t="s">
        <v>185</v>
      </c>
      <c r="B90" s="13" t="n">
        <v>9</v>
      </c>
      <c r="C90" s="14" t="s">
        <v>186</v>
      </c>
    </row>
    <row r="91" customFormat="false" ht="15" hidden="false" customHeight="false" outlineLevel="0" collapsed="false">
      <c r="A91" s="12" t="s">
        <v>187</v>
      </c>
      <c r="B91" s="13" t="n">
        <v>5</v>
      </c>
      <c r="C91" s="14" t="s">
        <v>188</v>
      </c>
    </row>
    <row r="92" customFormat="false" ht="15" hidden="false" customHeight="false" outlineLevel="0" collapsed="false">
      <c r="A92" s="12" t="s">
        <v>189</v>
      </c>
      <c r="B92" s="13" t="n">
        <v>5</v>
      </c>
      <c r="C92" s="14" t="s">
        <v>190</v>
      </c>
    </row>
    <row r="93" customFormat="false" ht="15" hidden="false" customHeight="false" outlineLevel="0" collapsed="false">
      <c r="A93" s="12" t="s">
        <v>191</v>
      </c>
      <c r="B93" s="16" t="n">
        <v>0.015</v>
      </c>
      <c r="C93" s="14" t="s">
        <v>192</v>
      </c>
    </row>
    <row r="94" customFormat="false" ht="15" hidden="false" customHeight="false" outlineLevel="0" collapsed="false">
      <c r="A94" s="10" t="s">
        <v>193</v>
      </c>
      <c r="B94" s="11"/>
      <c r="C94" s="11"/>
    </row>
    <row r="95" customFormat="false" ht="15" hidden="false" customHeight="false" outlineLevel="0" collapsed="false">
      <c r="A95" s="12" t="s">
        <v>194</v>
      </c>
      <c r="B95" s="16" t="n">
        <v>0.15</v>
      </c>
      <c r="C95" s="14" t="s">
        <v>195</v>
      </c>
    </row>
    <row r="96" customFormat="false" ht="15" hidden="false" customHeight="false" outlineLevel="0" collapsed="false">
      <c r="A96" s="12" t="s">
        <v>196</v>
      </c>
      <c r="B96" s="17" t="n">
        <v>42500</v>
      </c>
      <c r="C96" s="14" t="s">
        <v>197</v>
      </c>
    </row>
    <row r="97" customFormat="false" ht="15" hidden="false" customHeight="false" outlineLevel="0" collapsed="false">
      <c r="A97" s="12" t="s">
        <v>198</v>
      </c>
      <c r="B97" s="16" t="n">
        <v>0.25</v>
      </c>
      <c r="C97" s="14" t="s">
        <v>100</v>
      </c>
    </row>
    <row r="98" customFormat="false" ht="15" hidden="false" customHeight="false" outlineLevel="0" collapsed="false">
      <c r="A98" s="10" t="s">
        <v>199</v>
      </c>
      <c r="B98" s="11"/>
      <c r="C98" s="11"/>
    </row>
    <row r="99" customFormat="false" ht="15" hidden="false" customHeight="false" outlineLevel="0" collapsed="false">
      <c r="A99" s="12" t="s">
        <v>200</v>
      </c>
      <c r="B99" s="22" t="n">
        <v>-0.08</v>
      </c>
      <c r="C99" s="14" t="s">
        <v>201</v>
      </c>
    </row>
    <row r="100" customFormat="false" ht="15" hidden="false" customHeight="false" outlineLevel="0" collapsed="false">
      <c r="A100" s="12" t="s">
        <v>202</v>
      </c>
      <c r="B100" s="22" t="n">
        <v>-0.04</v>
      </c>
      <c r="C100" s="14" t="s">
        <v>203</v>
      </c>
    </row>
    <row r="101" customFormat="false" ht="15" hidden="false" customHeight="false" outlineLevel="0" collapsed="false">
      <c r="A101" s="12" t="s">
        <v>204</v>
      </c>
      <c r="B101" s="22" t="n">
        <v>0.05</v>
      </c>
      <c r="C101" s="14" t="s">
        <v>205</v>
      </c>
    </row>
    <row r="102" customFormat="false" ht="15" hidden="false" customHeight="false" outlineLevel="0" collapsed="false">
      <c r="A102" s="12" t="s">
        <v>206</v>
      </c>
      <c r="B102" s="22" t="n">
        <v>0.03</v>
      </c>
      <c r="C102" s="14" t="s">
        <v>207</v>
      </c>
    </row>
    <row r="104" customFormat="false" ht="15" hidden="false" customHeight="false" outlineLevel="0" collapsed="false">
      <c r="A104" s="10" t="s">
        <v>208</v>
      </c>
      <c r="B104" s="11"/>
      <c r="C104" s="11"/>
    </row>
    <row r="105" customFormat="false" ht="15" hidden="false" customHeight="false" outlineLevel="0" collapsed="false">
      <c r="A105" s="12" t="s">
        <v>209</v>
      </c>
      <c r="B105" s="16" t="n">
        <v>0.06</v>
      </c>
      <c r="C105" s="14" t="s">
        <v>210</v>
      </c>
    </row>
    <row r="106" customFormat="false" ht="15" hidden="false" customHeight="false" outlineLevel="0" collapsed="false">
      <c r="A106" s="12" t="s">
        <v>211</v>
      </c>
      <c r="B106" s="16" t="n">
        <v>0.075</v>
      </c>
    </row>
    <row r="107" customFormat="false" ht="15" hidden="false" customHeight="false" outlineLevel="0" collapsed="false">
      <c r="A107" s="12" t="s">
        <v>212</v>
      </c>
      <c r="B107" s="16" t="n">
        <v>0.085</v>
      </c>
    </row>
    <row r="108" customFormat="false" ht="15" hidden="false" customHeight="false" outlineLevel="0" collapsed="false">
      <c r="A108" s="12" t="s">
        <v>213</v>
      </c>
      <c r="B108" s="16" t="n">
        <v>0.08</v>
      </c>
    </row>
    <row r="109" customFormat="false" ht="15" hidden="false" customHeight="false" outlineLevel="0" collapsed="false">
      <c r="A109" s="12" t="s">
        <v>214</v>
      </c>
      <c r="B109" s="16" t="n">
        <v>0.093</v>
      </c>
    </row>
    <row r="110" customFormat="false" ht="15" hidden="false" customHeight="false" outlineLevel="0" collapsed="false">
      <c r="A110" s="12" t="s">
        <v>215</v>
      </c>
      <c r="B110" s="16" t="n">
        <v>0.093</v>
      </c>
    </row>
    <row r="111" customFormat="false" ht="15" hidden="false" customHeight="false" outlineLevel="0" collapsed="false">
      <c r="A111" s="12" t="s">
        <v>216</v>
      </c>
      <c r="B111" s="16" t="n">
        <v>0.098</v>
      </c>
    </row>
    <row r="112" customFormat="false" ht="15" hidden="false" customHeight="false" outlineLevel="0" collapsed="false">
      <c r="A112" s="12" t="s">
        <v>217</v>
      </c>
      <c r="B112" s="16" t="n">
        <v>0.094</v>
      </c>
    </row>
    <row r="113" customFormat="false" ht="15" hidden="false" customHeight="false" outlineLevel="0" collapsed="false">
      <c r="A113" s="12" t="s">
        <v>218</v>
      </c>
      <c r="B113" s="16" t="n">
        <v>0.09</v>
      </c>
    </row>
    <row r="114" customFormat="false" ht="15" hidden="false" customHeight="false" outlineLevel="0" collapsed="false">
      <c r="A114" s="12" t="s">
        <v>219</v>
      </c>
      <c r="B114" s="16" t="n">
        <v>0.086</v>
      </c>
    </row>
    <row r="115" customFormat="false" ht="15" hidden="false" customHeight="false" outlineLevel="0" collapsed="false">
      <c r="A115" s="12" t="s">
        <v>220</v>
      </c>
      <c r="B115" s="16" t="n">
        <v>0.076</v>
      </c>
    </row>
    <row r="116" customFormat="false" ht="15" hidden="false" customHeight="false" outlineLevel="0" collapsed="false">
      <c r="A116" s="12" t="s">
        <v>221</v>
      </c>
      <c r="B116" s="16" t="n">
        <v>0.07</v>
      </c>
    </row>
    <row r="117" customFormat="false" ht="15" hidden="false" customHeight="false" outlineLevel="0" collapsed="false">
      <c r="A117" s="23" t="s">
        <v>222</v>
      </c>
      <c r="B117" s="5" t="n">
        <f aca="false">SUM(B105:B116)</f>
        <v>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4" min="2" style="0" width="16"/>
  </cols>
  <sheetData>
    <row r="1" customFormat="false" ht="17.35" hidden="false" customHeight="false" outlineLevel="0" collapsed="false">
      <c r="A1" s="1" t="s">
        <v>223</v>
      </c>
    </row>
    <row r="3" customFormat="false" ht="15" hidden="false" customHeight="false" outlineLevel="0" collapsed="false">
      <c r="A3" s="2"/>
      <c r="B3" s="3" t="s">
        <v>2</v>
      </c>
      <c r="C3" s="3" t="s">
        <v>3</v>
      </c>
      <c r="D3" s="3" t="s">
        <v>4</v>
      </c>
    </row>
    <row r="4" customFormat="false" ht="15" hidden="false" customHeight="false" outlineLevel="0" collapsed="false">
      <c r="A4" s="12" t="s">
        <v>224</v>
      </c>
      <c r="B4" s="24" t="n">
        <f aca="false">Hypothèses!$B$6*Hypothèses!$B$7*Hypothèses!$B$9</f>
        <v>20400</v>
      </c>
      <c r="C4" s="24" t="n">
        <f aca="false">Hypothèses!$B$6*Hypothèses!$B$7*Hypothèses!$B$9</f>
        <v>20400</v>
      </c>
      <c r="D4" s="24" t="n">
        <f aca="false">Hypothèses!$B$6*Hypothèses!$B$7*Hypothèses!$B$9</f>
        <v>20400</v>
      </c>
    </row>
    <row r="5" customFormat="false" ht="15" hidden="false" customHeight="false" outlineLevel="0" collapsed="false">
      <c r="A5" s="12" t="s">
        <v>225</v>
      </c>
      <c r="B5" s="24" t="n">
        <f aca="false">Hypothèses!$B$6*Hypothèses!$B$8*Hypothèses!$B$9</f>
        <v>8160</v>
      </c>
      <c r="C5" s="24" t="n">
        <f aca="false">Hypothèses!$B$6*Hypothèses!$B$8*Hypothèses!$B$9</f>
        <v>8160</v>
      </c>
      <c r="D5" s="24" t="n">
        <f aca="false">Hypothèses!$B$6*Hypothèses!$B$8*Hypothèses!$B$9</f>
        <v>8160</v>
      </c>
    </row>
    <row r="6" customFormat="false" ht="15" hidden="false" customHeight="false" outlineLevel="0" collapsed="false">
      <c r="A6" s="12" t="s">
        <v>226</v>
      </c>
      <c r="B6" s="5" t="n">
        <f aca="false">Hypothèses!$B$16</f>
        <v>0.33</v>
      </c>
      <c r="C6" s="5" t="n">
        <f aca="false">Hypothèses!$B$17</f>
        <v>0.42</v>
      </c>
      <c r="D6" s="5" t="n">
        <f aca="false">Hypothèses!$B$18</f>
        <v>0.46</v>
      </c>
    </row>
    <row r="7" customFormat="false" ht="15" hidden="false" customHeight="false" outlineLevel="0" collapsed="false">
      <c r="A7" s="12" t="s">
        <v>227</v>
      </c>
      <c r="B7" s="5" t="n">
        <f aca="false">Hypothèses!$B$19</f>
        <v>0.13</v>
      </c>
      <c r="C7" s="5" t="n">
        <f aca="false">Hypothèses!$B$20</f>
        <v>0.17</v>
      </c>
      <c r="D7" s="5" t="n">
        <f aca="false">Hypothèses!$B$21</f>
        <v>0.2</v>
      </c>
    </row>
    <row r="8" customFormat="false" ht="15" hidden="false" customHeight="false" outlineLevel="0" collapsed="false">
      <c r="A8" s="12" t="s">
        <v>228</v>
      </c>
      <c r="B8" s="24" t="n">
        <f aca="false">B4*B6</f>
        <v>6732</v>
      </c>
      <c r="C8" s="24" t="n">
        <f aca="false">C4*C6</f>
        <v>8568</v>
      </c>
      <c r="D8" s="24" t="n">
        <f aca="false">D4*D6</f>
        <v>9384</v>
      </c>
    </row>
    <row r="9" customFormat="false" ht="15" hidden="false" customHeight="false" outlineLevel="0" collapsed="false">
      <c r="A9" s="12" t="s">
        <v>229</v>
      </c>
      <c r="B9" s="24" t="n">
        <f aca="false">B5*B7</f>
        <v>1060.8</v>
      </c>
      <c r="C9" s="24" t="n">
        <f aca="false">C5*C7</f>
        <v>1387.2</v>
      </c>
      <c r="D9" s="24" t="n">
        <f aca="false">D5*D7</f>
        <v>1632</v>
      </c>
    </row>
    <row r="10" customFormat="false" ht="15" hidden="false" customHeight="false" outlineLevel="0" collapsed="false">
      <c r="A10" s="23" t="s">
        <v>230</v>
      </c>
      <c r="B10" s="25" t="n">
        <f aca="false">B8+B9</f>
        <v>7792.8</v>
      </c>
      <c r="C10" s="25" t="n">
        <f aca="false">C8+C9</f>
        <v>9955.2</v>
      </c>
      <c r="D10" s="25" t="n">
        <f aca="false">D8+D9</f>
        <v>11016</v>
      </c>
    </row>
    <row r="11" customFormat="false" ht="15" hidden="false" customHeight="false" outlineLevel="0" collapsed="false">
      <c r="A11" s="12" t="s">
        <v>5</v>
      </c>
      <c r="B11" s="5" t="n">
        <f aca="false">IFERROR(B10/(B4+B5),0)</f>
        <v>0.272857142857143</v>
      </c>
      <c r="C11" s="5" t="n">
        <f aca="false">IFERROR(C10/(C4+C5),0)</f>
        <v>0.348571428571429</v>
      </c>
      <c r="D11" s="5" t="n">
        <f aca="false">IFERROR(D10/(D4+D5),0)</f>
        <v>0.385714285714286</v>
      </c>
    </row>
    <row r="12" customFormat="false" ht="15" hidden="false" customHeight="false" outlineLevel="0" collapsed="false">
      <c r="A12" s="12" t="s">
        <v>231</v>
      </c>
      <c r="B12" s="26" t="n">
        <f aca="false">IFERROR(B10/(Hypothèses!$B$9*7),0)</f>
        <v>21.8285714285714</v>
      </c>
      <c r="C12" s="26" t="n">
        <f aca="false">IFERROR(C10/(Hypothèses!$B$9*7),0)</f>
        <v>27.8857142857143</v>
      </c>
      <c r="D12" s="26" t="n">
        <f aca="false">IFERROR(D10/(Hypothèses!$B$9*7),0)</f>
        <v>30.8571428571429</v>
      </c>
    </row>
    <row r="13" customFormat="false" ht="15" hidden="false" customHeight="false" outlineLevel="0" collapsed="false">
      <c r="A13" s="12" t="s">
        <v>232</v>
      </c>
      <c r="B13" s="24" t="n">
        <f aca="false">B10*Hypothèses!$B$10</f>
        <v>31171.2</v>
      </c>
      <c r="C13" s="24" t="n">
        <f aca="false">C10*Hypothèses!$B$10</f>
        <v>39820.8</v>
      </c>
      <c r="D13" s="24" t="n">
        <f aca="false">D10*Hypothèses!$B$10</f>
        <v>44064</v>
      </c>
    </row>
    <row r="14" customFormat="false" ht="15" hidden="false" customHeight="false" outlineLevel="0" collapsed="false">
      <c r="A14" s="12" t="s">
        <v>233</v>
      </c>
      <c r="B14" s="27" t="n">
        <f aca="false">Hypothèses!$B$11/(1+Hypothèses!$B$13)*(1+Hypothèses!$B$14)^0</f>
        <v>61.6666666666667</v>
      </c>
      <c r="C14" s="27" t="n">
        <f aca="false">Hypothèses!$B$11/(1+Hypothèses!$B$13)*(1+Hypothèses!$B$14)^1</f>
        <v>62.9</v>
      </c>
      <c r="D14" s="27" t="n">
        <f aca="false">Hypothèses!$B$11/(1+Hypothèses!$B$13)*(1+Hypothèses!$B$14)^2</f>
        <v>64.158</v>
      </c>
    </row>
    <row r="15" customFormat="false" ht="15" hidden="false" customHeight="false" outlineLevel="0" collapsed="false">
      <c r="A15" s="12" t="s">
        <v>234</v>
      </c>
      <c r="B15" s="27" t="n">
        <f aca="false">Hypothèses!$B$12/(1+Hypothèses!$B$13)*(1+Hypothèses!$B$14)^0</f>
        <v>45</v>
      </c>
      <c r="C15" s="27" t="n">
        <f aca="false">Hypothèses!$B$12/(1+Hypothèses!$B$13)*(1+Hypothèses!$B$14)^1</f>
        <v>45.9</v>
      </c>
      <c r="D15" s="27" t="n">
        <f aca="false">Hypothèses!$B$12/(1+Hypothèses!$B$13)*(1+Hypothèses!$B$14)^2</f>
        <v>46.818</v>
      </c>
    </row>
    <row r="16" customFormat="false" ht="15" hidden="false" customHeight="false" outlineLevel="0" collapsed="false">
      <c r="A16" s="12" t="s">
        <v>235</v>
      </c>
      <c r="B16" s="6" t="n">
        <f aca="false">B8*B14</f>
        <v>415140</v>
      </c>
      <c r="C16" s="6" t="n">
        <f aca="false">C8*C14</f>
        <v>538927.2</v>
      </c>
      <c r="D16" s="6" t="n">
        <f aca="false">D8*D14</f>
        <v>602058.672</v>
      </c>
    </row>
    <row r="17" customFormat="false" ht="15" hidden="false" customHeight="false" outlineLevel="0" collapsed="false">
      <c r="A17" s="12" t="s">
        <v>236</v>
      </c>
      <c r="B17" s="6" t="n">
        <f aca="false">B9*B15</f>
        <v>47736</v>
      </c>
      <c r="C17" s="6" t="n">
        <f aca="false">C9*C15</f>
        <v>63672.48</v>
      </c>
      <c r="D17" s="6" t="n">
        <f aca="false">D9*D15</f>
        <v>76406.976</v>
      </c>
    </row>
    <row r="18" customFormat="false" ht="15" hidden="false" customHeight="false" outlineLevel="0" collapsed="false">
      <c r="A18" s="23" t="s">
        <v>237</v>
      </c>
      <c r="B18" s="28" t="n">
        <f aca="false">B16+B17</f>
        <v>462876</v>
      </c>
      <c r="C18" s="28" t="n">
        <f aca="false">C16+C17</f>
        <v>602599.68</v>
      </c>
      <c r="D18" s="28" t="n">
        <f aca="false">D16+D17</f>
        <v>678465.648</v>
      </c>
    </row>
    <row r="19" customFormat="false" ht="15" hidden="false" customHeight="false" outlineLevel="0" collapsed="false">
      <c r="A19" s="12" t="s">
        <v>238</v>
      </c>
      <c r="B19" s="6" t="n">
        <f aca="false">B13*Hypothèses!$B$23*(1+Hypothèses!$B$14)^0</f>
        <v>31171.2</v>
      </c>
      <c r="C19" s="6" t="n">
        <f aca="false">C13*Hypothèses!$B$23*(1+Hypothèses!$B$14)^1</f>
        <v>40617.216</v>
      </c>
      <c r="D19" s="6" t="n">
        <f aca="false">D13*Hypothèses!$B$23*(1+Hypothèses!$B$14)^2</f>
        <v>45844.1856</v>
      </c>
    </row>
    <row r="20" customFormat="false" ht="15" hidden="false" customHeight="false" outlineLevel="0" collapsed="false">
      <c r="A20" s="12" t="s">
        <v>239</v>
      </c>
      <c r="B20" s="6" t="n">
        <f aca="false">B13*Hypothèses!$B$25*(1+Hypothèses!$B$14)^0</f>
        <v>15585.6</v>
      </c>
      <c r="C20" s="6" t="n">
        <f aca="false">C13*Hypothèses!$B$25*(1+Hypothèses!$B$14)^1</f>
        <v>20308.608</v>
      </c>
      <c r="D20" s="6" t="n">
        <f aca="false">D13*Hypothèses!$B$25*(1+Hypothèses!$B$14)^2</f>
        <v>22922.0928</v>
      </c>
    </row>
    <row r="21" customFormat="false" ht="15" hidden="false" customHeight="false" outlineLevel="0" collapsed="false">
      <c r="A21" s="23" t="s">
        <v>240</v>
      </c>
      <c r="B21" s="28" t="n">
        <f aca="false">B18+B19+B20</f>
        <v>509632.8</v>
      </c>
      <c r="C21" s="28" t="n">
        <f aca="false">C18+C19+C20</f>
        <v>663525.504</v>
      </c>
      <c r="D21" s="28" t="n">
        <f aca="false">D18+D19+D20</f>
        <v>747231.9264</v>
      </c>
    </row>
    <row r="22" customFormat="false" ht="15" hidden="false" customHeight="false" outlineLevel="0" collapsed="false">
      <c r="A22" s="12" t="s">
        <v>241</v>
      </c>
      <c r="B22" s="6" t="n">
        <f aca="false">B19*Hypothèses!$B$24</f>
        <v>14027.04</v>
      </c>
      <c r="C22" s="6" t="n">
        <f aca="false">C19*Hypothèses!$B$24</f>
        <v>18277.7472</v>
      </c>
      <c r="D22" s="6" t="n">
        <f aca="false">D19*Hypothèses!$B$24</f>
        <v>20629.88352</v>
      </c>
    </row>
    <row r="23" customFormat="false" ht="15" hidden="false" customHeight="false" outlineLevel="0" collapsed="false">
      <c r="A23" s="12" t="s">
        <v>242</v>
      </c>
      <c r="B23" s="6" t="n">
        <f aca="false">B20*Hypothèses!$B$26</f>
        <v>9351.36</v>
      </c>
      <c r="C23" s="6" t="n">
        <f aca="false">C20*Hypothèses!$B$26</f>
        <v>12185.1648</v>
      </c>
      <c r="D23" s="6" t="n">
        <f aca="false">D20*Hypothèses!$B$26</f>
        <v>13753.25568</v>
      </c>
    </row>
    <row r="24" customFormat="false" ht="15" hidden="false" customHeight="false" outlineLevel="0" collapsed="false">
      <c r="A24" s="23" t="s">
        <v>243</v>
      </c>
      <c r="B24" s="28" t="n">
        <f aca="false">B22+B23</f>
        <v>23378.4</v>
      </c>
      <c r="C24" s="28" t="n">
        <f aca="false">C22+C23</f>
        <v>30462.912</v>
      </c>
      <c r="D24" s="28" t="n">
        <f aca="false">D22+D23</f>
        <v>34383.1392</v>
      </c>
    </row>
    <row r="25" customFormat="false" ht="15" hidden="false" customHeight="false" outlineLevel="0" collapsed="false">
      <c r="A25" s="12" t="s">
        <v>244</v>
      </c>
      <c r="B25" s="24" t="n">
        <f aca="false">B10*1.5</f>
        <v>11689.2</v>
      </c>
      <c r="C25" s="24" t="n">
        <f aca="false">C10*1.5</f>
        <v>14932.8</v>
      </c>
      <c r="D25" s="24" t="n">
        <f aca="false">D10*1.5</f>
        <v>16524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2"/>
    <col collapsed="false" customWidth="true" hidden="false" outlineLevel="0" max="3" min="2" style="0" width="16"/>
  </cols>
  <sheetData>
    <row r="1" customFormat="false" ht="17.35" hidden="false" customHeight="false" outlineLevel="0" collapsed="false">
      <c r="A1" s="1" t="s">
        <v>245</v>
      </c>
    </row>
    <row r="3" customFormat="false" ht="15" hidden="false" customHeight="false" outlineLevel="0" collapsed="false">
      <c r="A3" s="2" t="s">
        <v>246</v>
      </c>
      <c r="B3" s="3" t="s">
        <v>247</v>
      </c>
      <c r="C3" s="3" t="s">
        <v>248</v>
      </c>
    </row>
    <row r="4" customFormat="false" ht="15" hidden="false" customHeight="false" outlineLevel="0" collapsed="false">
      <c r="A4" s="12" t="s">
        <v>249</v>
      </c>
      <c r="B4" s="6" t="n">
        <f aca="false">Hypothèses!$B$6*Hypothèses!$B$28</f>
        <v>280000</v>
      </c>
      <c r="C4" s="29" t="n">
        <f aca="false">Hypothèses!$B$89</f>
        <v>8</v>
      </c>
    </row>
    <row r="5" customFormat="false" ht="15" hidden="false" customHeight="false" outlineLevel="0" collapsed="false">
      <c r="A5" s="12" t="s">
        <v>74</v>
      </c>
      <c r="B5" s="6" t="n">
        <f aca="false">Hypothèses!$B$29</f>
        <v>0</v>
      </c>
      <c r="C5" s="29" t="n">
        <f aca="false">Hypothèses!$B$89</f>
        <v>8</v>
      </c>
    </row>
    <row r="6" customFormat="false" ht="15" hidden="false" customHeight="false" outlineLevel="0" collapsed="false">
      <c r="A6" s="12" t="s">
        <v>250</v>
      </c>
      <c r="B6" s="6" t="n">
        <f aca="false">Hypothèses!$B$30</f>
        <v>150000</v>
      </c>
      <c r="C6" s="29" t="n">
        <f aca="false">Hypothèses!$B$90</f>
        <v>9</v>
      </c>
    </row>
    <row r="7" customFormat="false" ht="15" hidden="false" customHeight="false" outlineLevel="0" collapsed="false">
      <c r="A7" s="12" t="s">
        <v>251</v>
      </c>
      <c r="B7" s="6" t="n">
        <f aca="false">Hypothèses!$B$31</f>
        <v>45000</v>
      </c>
      <c r="C7" s="29" t="n">
        <f aca="false">Hypothèses!$B$90</f>
        <v>9</v>
      </c>
    </row>
    <row r="8" customFormat="false" ht="15" hidden="false" customHeight="false" outlineLevel="0" collapsed="false">
      <c r="A8" s="12" t="s">
        <v>252</v>
      </c>
      <c r="B8" s="6" t="n">
        <f aca="false">Hypothèses!$B$32</f>
        <v>18500</v>
      </c>
      <c r="C8" s="29" t="n">
        <f aca="false">Hypothèses!$B$91</f>
        <v>5</v>
      </c>
    </row>
    <row r="9" customFormat="false" ht="15" hidden="false" customHeight="false" outlineLevel="0" collapsed="false">
      <c r="A9" s="12" t="s">
        <v>253</v>
      </c>
      <c r="B9" s="6" t="n">
        <f aca="false">Hypothèses!$B$33</f>
        <v>22000</v>
      </c>
      <c r="C9" s="29" t="n">
        <f aca="false">Hypothèses!$B$91</f>
        <v>5</v>
      </c>
    </row>
    <row r="10" customFormat="false" ht="15" hidden="false" customHeight="false" outlineLevel="0" collapsed="false">
      <c r="A10" s="12" t="s">
        <v>254</v>
      </c>
      <c r="B10" s="6" t="n">
        <f aca="false">Hypothèses!$B$35*(Hypothèses!$B$58*Hypothèses!$B$59)</f>
        <v>39000</v>
      </c>
      <c r="C10" s="29" t="n">
        <f aca="false">Hypothèses!$B$92</f>
        <v>5</v>
      </c>
    </row>
    <row r="11" customFormat="false" ht="15" hidden="false" customHeight="false" outlineLevel="0" collapsed="false">
      <c r="A11" s="12" t="s">
        <v>255</v>
      </c>
      <c r="B11" s="6" t="n">
        <f aca="false">Hypothèses!$B$36</f>
        <v>2500</v>
      </c>
      <c r="C11" s="29" t="n">
        <f aca="false">Hypothèses!$B$92</f>
        <v>5</v>
      </c>
    </row>
    <row r="12" customFormat="false" ht="15" hidden="false" customHeight="false" outlineLevel="0" collapsed="false">
      <c r="A12" s="12" t="s">
        <v>89</v>
      </c>
      <c r="B12" s="6" t="n">
        <f aca="false">Hypothèses!$B$37</f>
        <v>1500</v>
      </c>
      <c r="C12" s="29" t="n">
        <f aca="false">Hypothèses!$B$92</f>
        <v>5</v>
      </c>
    </row>
    <row r="13" customFormat="false" ht="15" hidden="false" customHeight="false" outlineLevel="0" collapsed="false">
      <c r="A13" s="12" t="s">
        <v>256</v>
      </c>
      <c r="B13" s="6" t="n">
        <f aca="false">Hypothèses!$B$38*(Hypothèses!$B$58*Hypothèses!$B$60)/12</f>
        <v>9750</v>
      </c>
      <c r="C13" s="29" t="n">
        <f aca="false">Hypothèses!$B$92</f>
        <v>5</v>
      </c>
    </row>
    <row r="14" customFormat="false" ht="15" hidden="false" customHeight="false" outlineLevel="0" collapsed="false">
      <c r="A14" s="12" t="s">
        <v>93</v>
      </c>
      <c r="B14" s="6" t="n">
        <f aca="false">Hypothèses!$B$39</f>
        <v>6000</v>
      </c>
      <c r="C14" s="29" t="n">
        <f aca="false">Hypothèses!$B$92</f>
        <v>5</v>
      </c>
    </row>
    <row r="15" customFormat="false" ht="15" hidden="false" customHeight="false" outlineLevel="0" collapsed="false">
      <c r="A15" s="12" t="s">
        <v>257</v>
      </c>
      <c r="B15" s="6" t="n">
        <f aca="false">Hypothèses!$B$40*(Hypothèses!$B$58*Hypothèses!$B$59)/12</f>
        <v>48750</v>
      </c>
    </row>
    <row r="16" customFormat="false" ht="15" hidden="false" customHeight="false" outlineLevel="0" collapsed="false">
      <c r="A16" s="12" t="s">
        <v>258</v>
      </c>
      <c r="B16" s="6" t="n">
        <f aca="false">Hypothèses!$B$41</f>
        <v>6000</v>
      </c>
    </row>
    <row r="17" customFormat="false" ht="15" hidden="false" customHeight="false" outlineLevel="0" collapsed="false">
      <c r="A17" s="12" t="s">
        <v>259</v>
      </c>
      <c r="B17" s="6" t="n">
        <f aca="false">(B4+B5+B6+B7+B8+B9+B10+B12+B14)*Hypothèses!$B$42</f>
        <v>112400</v>
      </c>
    </row>
    <row r="18" customFormat="false" ht="15" hidden="false" customHeight="false" outlineLevel="0" collapsed="false">
      <c r="A18" s="12" t="s">
        <v>260</v>
      </c>
      <c r="B18" s="6" t="n">
        <f aca="false">B27-(B4+B5+B6+B7+B8+B9+B10+B11+B12+B13+B14+B15+B16+B17)</f>
        <v>86000</v>
      </c>
    </row>
    <row r="19" customFormat="false" ht="15" hidden="false" customHeight="false" outlineLevel="0" collapsed="false">
      <c r="A19" s="23" t="s">
        <v>261</v>
      </c>
      <c r="B19" s="30" t="n">
        <f aca="false">SUM(B4:B18)</f>
        <v>827400</v>
      </c>
    </row>
    <row r="21" customFormat="false" ht="15" hidden="false" customHeight="false" outlineLevel="0" collapsed="false">
      <c r="A21" s="2" t="s">
        <v>262</v>
      </c>
      <c r="B21" s="3" t="s">
        <v>247</v>
      </c>
      <c r="C21" s="3" t="s">
        <v>263</v>
      </c>
    </row>
    <row r="22" customFormat="false" ht="15" hidden="false" customHeight="false" outlineLevel="0" collapsed="false">
      <c r="A22" s="4" t="s">
        <v>264</v>
      </c>
      <c r="B22" s="6" t="n">
        <f aca="false">Hypothèses!$B$46</f>
        <v>30000</v>
      </c>
      <c r="C22" s="5" t="n">
        <f aca="false">IFERROR(B22/$B$27,0)</f>
        <v>0.0362581580855693</v>
      </c>
    </row>
    <row r="23" customFormat="false" ht="15" hidden="false" customHeight="false" outlineLevel="0" collapsed="false">
      <c r="A23" s="4" t="s">
        <v>265</v>
      </c>
      <c r="B23" s="6" t="n">
        <f aca="false">Hypothèses!$B$47</f>
        <v>180000</v>
      </c>
      <c r="C23" s="5" t="n">
        <f aca="false">IFERROR(B23/$B$27,0)</f>
        <v>0.217548948513416</v>
      </c>
    </row>
    <row r="24" customFormat="false" ht="15" hidden="false" customHeight="false" outlineLevel="0" collapsed="false">
      <c r="A24" s="4" t="s">
        <v>266</v>
      </c>
      <c r="B24" s="6" t="n">
        <f aca="false">Hypothèses!$B$48</f>
        <v>25000</v>
      </c>
      <c r="C24" s="5" t="n">
        <f aca="false">IFERROR(B24/$B$27,0)</f>
        <v>0.0302151317379744</v>
      </c>
    </row>
    <row r="25" customFormat="false" ht="15" hidden="false" customHeight="false" outlineLevel="0" collapsed="false">
      <c r="A25" s="23" t="s">
        <v>267</v>
      </c>
      <c r="B25" s="28" t="n">
        <f aca="false">Hypothèses!$B$49</f>
        <v>480000</v>
      </c>
      <c r="C25" s="5" t="n">
        <f aca="false">IFERROR(B25/$B$27,0)</f>
        <v>0.580130529369108</v>
      </c>
    </row>
    <row r="26" customFormat="false" ht="15" hidden="false" customHeight="false" outlineLevel="0" collapsed="false">
      <c r="A26" s="4" t="s">
        <v>268</v>
      </c>
      <c r="B26" s="6" t="n">
        <f aca="false">IF(Hypothèses!$B$55=1,B17,0)</f>
        <v>112400</v>
      </c>
      <c r="C26" s="5" t="n">
        <f aca="false">IFERROR(B26/$B$27,0)</f>
        <v>0.135847232293933</v>
      </c>
    </row>
    <row r="27" customFormat="false" ht="15" hidden="false" customHeight="false" outlineLevel="0" collapsed="false">
      <c r="A27" s="23" t="s">
        <v>269</v>
      </c>
      <c r="B27" s="28" t="n">
        <f aca="false">SUM(B22:B26)</f>
        <v>827400</v>
      </c>
      <c r="C27" s="5" t="n">
        <f aca="false">IFERROR(B27/$B$27,0)</f>
        <v>1</v>
      </c>
    </row>
    <row r="28" customFormat="false" ht="15" hidden="false" customHeight="false" outlineLevel="0" collapsed="false">
      <c r="A28" s="4" t="s">
        <v>270</v>
      </c>
      <c r="B28" s="5" t="n">
        <f aca="false">IFERROR((B22+B23)/(B27-B26),0)</f>
        <v>0.293706293706294</v>
      </c>
      <c r="C28" s="14" t="s">
        <v>271</v>
      </c>
    </row>
    <row r="29" customFormat="false" ht="15" hidden="false" customHeight="false" outlineLevel="0" collapsed="false">
      <c r="A29" s="4" t="s">
        <v>272</v>
      </c>
      <c r="B29" s="5" t="n">
        <f aca="false">IFERROR((B22+B23+B24)/(B27-B26),0)</f>
        <v>0.328671328671329</v>
      </c>
      <c r="C29" s="14" t="s">
        <v>273</v>
      </c>
    </row>
    <row r="30" customFormat="false" ht="15" hidden="false" customHeight="false" outlineLevel="0" collapsed="false">
      <c r="A30" s="4" t="s">
        <v>274</v>
      </c>
      <c r="B30" s="5" t="n">
        <f aca="false">IFERROR(B25/(B27-B26),0)</f>
        <v>0.671328671328671</v>
      </c>
    </row>
    <row r="32" customFormat="false" ht="15" hidden="false" customHeight="false" outlineLevel="0" collapsed="false">
      <c r="A32" s="2" t="s">
        <v>21</v>
      </c>
      <c r="B32" s="3" t="s">
        <v>22</v>
      </c>
    </row>
    <row r="33" customFormat="false" ht="15" hidden="false" customHeight="false" outlineLevel="0" collapsed="false">
      <c r="A33" s="4" t="s">
        <v>25</v>
      </c>
      <c r="B33" s="4" t="str">
        <f aca="false">IF(B18&gt;=Hypothèses!$B$44,"OK","À corriger")</f>
        <v>OK</v>
      </c>
    </row>
    <row r="34" customFormat="false" ht="15" hidden="false" customHeight="false" outlineLevel="0" collapsed="false">
      <c r="A34" s="4" t="s">
        <v>26</v>
      </c>
      <c r="B34" s="4" t="str">
        <f aca="false">IF(B30&lt;=0.7,"OK","À corriger")</f>
        <v>OK</v>
      </c>
    </row>
    <row r="35" customFormat="false" ht="15" hidden="false" customHeight="false" outlineLevel="0" collapsed="false">
      <c r="A35" s="4" t="s">
        <v>24</v>
      </c>
      <c r="B35" s="4" t="str">
        <f aca="false">IF(ROUND(B19-B27,2)=0,"OK","À corriger")</f>
        <v>OK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1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9" min="2" style="0" width="16"/>
  </cols>
  <sheetData>
    <row r="1" customFormat="false" ht="17.35" hidden="false" customHeight="false" outlineLevel="0" collapsed="false">
      <c r="A1" s="1" t="s">
        <v>275</v>
      </c>
    </row>
    <row r="2" customFormat="false" ht="15" hidden="false" customHeight="false" outlineLevel="0" collapsed="false">
      <c r="A2" s="14" t="s">
        <v>276</v>
      </c>
    </row>
    <row r="4" customFormat="false" ht="15" hidden="false" customHeight="false" outlineLevel="0" collapsed="false">
      <c r="A4" s="2" t="s">
        <v>277</v>
      </c>
      <c r="B4" s="3" t="s">
        <v>278</v>
      </c>
      <c r="C4" s="3" t="s">
        <v>279</v>
      </c>
      <c r="D4" s="3" t="s">
        <v>280</v>
      </c>
      <c r="E4" s="3" t="s">
        <v>281</v>
      </c>
      <c r="F4" s="3" t="s">
        <v>282</v>
      </c>
      <c r="G4" s="3" t="s">
        <v>283</v>
      </c>
      <c r="H4" s="3" t="s">
        <v>284</v>
      </c>
      <c r="I4" s="3" t="s">
        <v>285</v>
      </c>
    </row>
    <row r="5" customFormat="false" ht="15" hidden="false" customHeight="false" outlineLevel="0" collapsed="false">
      <c r="A5" s="4" t="n">
        <v>1</v>
      </c>
      <c r="B5" s="4" t="n">
        <f aca="false">INT((A5-1)/12)+1</f>
        <v>1</v>
      </c>
      <c r="C5" s="6" t="n">
        <f aca="false">Hypothèses!$B$49</f>
        <v>480000</v>
      </c>
      <c r="D5" s="6" t="n">
        <f aca="false">IF(A5&gt;Hypothèses!$B$51,0,C5*Hypothèses!$B$50/12)</f>
        <v>1720</v>
      </c>
      <c r="E5" s="6" t="n">
        <f aca="false">F5-D5</f>
        <v>0</v>
      </c>
      <c r="F5" s="6" t="n">
        <f aca="false">IF(A5&gt;Hypothèses!$B$51,0,IF(A5&lt;=Hypothèses!$B$52,D5,PMT(Hypothèses!$B$50/12,Hypothèses!$B$51-Hypothèses!$B$52,-Hypothèses!$B$49)))</f>
        <v>1720</v>
      </c>
      <c r="G5" s="6" t="n">
        <f aca="false">C5-E5</f>
        <v>480000</v>
      </c>
      <c r="H5" s="6" t="n">
        <f aca="false">IF(A5&gt;Hypothèses!$B$51,0,Hypothèses!$B$49*Hypothèses!$B$53/12)</f>
        <v>120</v>
      </c>
      <c r="I5" s="6" t="n">
        <f aca="false">IF(A5&gt;Hypothèses!$B$51,0,C5*Hypothèses!$B$54/12)</f>
        <v>320</v>
      </c>
    </row>
    <row r="6" customFormat="false" ht="15" hidden="false" customHeight="false" outlineLevel="0" collapsed="false">
      <c r="A6" s="4" t="n">
        <v>2</v>
      </c>
      <c r="B6" s="4" t="n">
        <f aca="false">INT((A6-1)/12)+1</f>
        <v>1</v>
      </c>
      <c r="C6" s="6" t="n">
        <f aca="false">G5</f>
        <v>480000</v>
      </c>
      <c r="D6" s="6" t="n">
        <f aca="false">IF(A6&gt;Hypothèses!$B$51,0,C6*Hypothèses!$B$50/12)</f>
        <v>1720</v>
      </c>
      <c r="E6" s="6" t="n">
        <f aca="false">F6-D6</f>
        <v>0</v>
      </c>
      <c r="F6" s="6" t="n">
        <f aca="false">IF(A6&gt;Hypothèses!$B$51,0,IF(A6&lt;=Hypothèses!$B$52,D6,PMT(Hypothèses!$B$50/12,Hypothèses!$B$51-Hypothèses!$B$52,-Hypothèses!$B$49)))</f>
        <v>1720</v>
      </c>
      <c r="G6" s="6" t="n">
        <f aca="false">C6-E6</f>
        <v>480000</v>
      </c>
      <c r="H6" s="6" t="n">
        <f aca="false">IF(A6&gt;Hypothèses!$B$51,0,Hypothèses!$B$49*Hypothèses!$B$53/12)</f>
        <v>120</v>
      </c>
      <c r="I6" s="6" t="n">
        <f aca="false">IF(A6&gt;Hypothèses!$B$51,0,C6*Hypothèses!$B$54/12)</f>
        <v>320</v>
      </c>
    </row>
    <row r="7" customFormat="false" ht="15" hidden="false" customHeight="false" outlineLevel="0" collapsed="false">
      <c r="A7" s="4" t="n">
        <v>3</v>
      </c>
      <c r="B7" s="4" t="n">
        <f aca="false">INT((A7-1)/12)+1</f>
        <v>1</v>
      </c>
      <c r="C7" s="6" t="n">
        <f aca="false">G6</f>
        <v>480000</v>
      </c>
      <c r="D7" s="6" t="n">
        <f aca="false">IF(A7&gt;Hypothèses!$B$51,0,C7*Hypothèses!$B$50/12)</f>
        <v>1720</v>
      </c>
      <c r="E7" s="6" t="n">
        <f aca="false">F7-D7</f>
        <v>0</v>
      </c>
      <c r="F7" s="6" t="n">
        <f aca="false">IF(A7&gt;Hypothèses!$B$51,0,IF(A7&lt;=Hypothèses!$B$52,D7,PMT(Hypothèses!$B$50/12,Hypothèses!$B$51-Hypothèses!$B$52,-Hypothèses!$B$49)))</f>
        <v>1720</v>
      </c>
      <c r="G7" s="6" t="n">
        <f aca="false">C7-E7</f>
        <v>480000</v>
      </c>
      <c r="H7" s="6" t="n">
        <f aca="false">IF(A7&gt;Hypothèses!$B$51,0,Hypothèses!$B$49*Hypothèses!$B$53/12)</f>
        <v>120</v>
      </c>
      <c r="I7" s="6" t="n">
        <f aca="false">IF(A7&gt;Hypothèses!$B$51,0,C7*Hypothèses!$B$54/12)</f>
        <v>320</v>
      </c>
    </row>
    <row r="8" customFormat="false" ht="15" hidden="false" customHeight="false" outlineLevel="0" collapsed="false">
      <c r="A8" s="4" t="n">
        <v>4</v>
      </c>
      <c r="B8" s="4" t="n">
        <f aca="false">INT((A8-1)/12)+1</f>
        <v>1</v>
      </c>
      <c r="C8" s="6" t="n">
        <f aca="false">G7</f>
        <v>480000</v>
      </c>
      <c r="D8" s="6" t="n">
        <f aca="false">IF(A8&gt;Hypothèses!$B$51,0,C8*Hypothèses!$B$50/12)</f>
        <v>1720</v>
      </c>
      <c r="E8" s="6" t="n">
        <f aca="false">F8-D8</f>
        <v>0</v>
      </c>
      <c r="F8" s="6" t="n">
        <f aca="false">IF(A8&gt;Hypothèses!$B$51,0,IF(A8&lt;=Hypothèses!$B$52,D8,PMT(Hypothèses!$B$50/12,Hypothèses!$B$51-Hypothèses!$B$52,-Hypothèses!$B$49)))</f>
        <v>1720</v>
      </c>
      <c r="G8" s="6" t="n">
        <f aca="false">C8-E8</f>
        <v>480000</v>
      </c>
      <c r="H8" s="6" t="n">
        <f aca="false">IF(A8&gt;Hypothèses!$B$51,0,Hypothèses!$B$49*Hypothèses!$B$53/12)</f>
        <v>120</v>
      </c>
      <c r="I8" s="6" t="n">
        <f aca="false">IF(A8&gt;Hypothèses!$B$51,0,C8*Hypothèses!$B$54/12)</f>
        <v>320</v>
      </c>
    </row>
    <row r="9" customFormat="false" ht="15" hidden="false" customHeight="false" outlineLevel="0" collapsed="false">
      <c r="A9" s="4" t="n">
        <v>5</v>
      </c>
      <c r="B9" s="4" t="n">
        <f aca="false">INT((A9-1)/12)+1</f>
        <v>1</v>
      </c>
      <c r="C9" s="6" t="n">
        <f aca="false">G8</f>
        <v>480000</v>
      </c>
      <c r="D9" s="6" t="n">
        <f aca="false">IF(A9&gt;Hypothèses!$B$51,0,C9*Hypothèses!$B$50/12)</f>
        <v>1720</v>
      </c>
      <c r="E9" s="6" t="n">
        <f aca="false">F9-D9</f>
        <v>0</v>
      </c>
      <c r="F9" s="6" t="n">
        <f aca="false">IF(A9&gt;Hypothèses!$B$51,0,IF(A9&lt;=Hypothèses!$B$52,D9,PMT(Hypothèses!$B$50/12,Hypothèses!$B$51-Hypothèses!$B$52,-Hypothèses!$B$49)))</f>
        <v>1720</v>
      </c>
      <c r="G9" s="6" t="n">
        <f aca="false">C9-E9</f>
        <v>480000</v>
      </c>
      <c r="H9" s="6" t="n">
        <f aca="false">IF(A9&gt;Hypothèses!$B$51,0,Hypothèses!$B$49*Hypothèses!$B$53/12)</f>
        <v>120</v>
      </c>
      <c r="I9" s="6" t="n">
        <f aca="false">IF(A9&gt;Hypothèses!$B$51,0,C9*Hypothèses!$B$54/12)</f>
        <v>320</v>
      </c>
    </row>
    <row r="10" customFormat="false" ht="15" hidden="false" customHeight="false" outlineLevel="0" collapsed="false">
      <c r="A10" s="4" t="n">
        <v>6</v>
      </c>
      <c r="B10" s="4" t="n">
        <f aca="false">INT((A10-1)/12)+1</f>
        <v>1</v>
      </c>
      <c r="C10" s="6" t="n">
        <f aca="false">G9</f>
        <v>480000</v>
      </c>
      <c r="D10" s="6" t="n">
        <f aca="false">IF(A10&gt;Hypothèses!$B$51,0,C10*Hypothèses!$B$50/12)</f>
        <v>1720</v>
      </c>
      <c r="E10" s="6" t="n">
        <f aca="false">F10-D10</f>
        <v>0</v>
      </c>
      <c r="F10" s="6" t="n">
        <f aca="false">IF(A10&gt;Hypothèses!$B$51,0,IF(A10&lt;=Hypothèses!$B$52,D10,PMT(Hypothèses!$B$50/12,Hypothèses!$B$51-Hypothèses!$B$52,-Hypothèses!$B$49)))</f>
        <v>1720</v>
      </c>
      <c r="G10" s="6" t="n">
        <f aca="false">C10-E10</f>
        <v>480000</v>
      </c>
      <c r="H10" s="6" t="n">
        <f aca="false">IF(A10&gt;Hypothèses!$B$51,0,Hypothèses!$B$49*Hypothèses!$B$53/12)</f>
        <v>120</v>
      </c>
      <c r="I10" s="6" t="n">
        <f aca="false">IF(A10&gt;Hypothèses!$B$51,0,C10*Hypothèses!$B$54/12)</f>
        <v>320</v>
      </c>
    </row>
    <row r="11" customFormat="false" ht="15" hidden="false" customHeight="false" outlineLevel="0" collapsed="false">
      <c r="A11" s="4" t="n">
        <v>7</v>
      </c>
      <c r="B11" s="4" t="n">
        <f aca="false">INT((A11-1)/12)+1</f>
        <v>1</v>
      </c>
      <c r="C11" s="6" t="n">
        <f aca="false">G10</f>
        <v>480000</v>
      </c>
      <c r="D11" s="6" t="n">
        <f aca="false">IF(A11&gt;Hypothèses!$B$51,0,C11*Hypothèses!$B$50/12)</f>
        <v>1720</v>
      </c>
      <c r="E11" s="6" t="n">
        <f aca="false">F11-D11</f>
        <v>0</v>
      </c>
      <c r="F11" s="6" t="n">
        <f aca="false">IF(A11&gt;Hypothèses!$B$51,0,IF(A11&lt;=Hypothèses!$B$52,D11,PMT(Hypothèses!$B$50/12,Hypothèses!$B$51-Hypothèses!$B$52,-Hypothèses!$B$49)))</f>
        <v>1720</v>
      </c>
      <c r="G11" s="6" t="n">
        <f aca="false">C11-E11</f>
        <v>480000</v>
      </c>
      <c r="H11" s="6" t="n">
        <f aca="false">IF(A11&gt;Hypothèses!$B$51,0,Hypothèses!$B$49*Hypothèses!$B$53/12)</f>
        <v>120</v>
      </c>
      <c r="I11" s="6" t="n">
        <f aca="false">IF(A11&gt;Hypothèses!$B$51,0,C11*Hypothèses!$B$54/12)</f>
        <v>320</v>
      </c>
    </row>
    <row r="12" customFormat="false" ht="15" hidden="false" customHeight="false" outlineLevel="0" collapsed="false">
      <c r="A12" s="4" t="n">
        <v>8</v>
      </c>
      <c r="B12" s="4" t="n">
        <f aca="false">INT((A12-1)/12)+1</f>
        <v>1</v>
      </c>
      <c r="C12" s="6" t="n">
        <f aca="false">G11</f>
        <v>480000</v>
      </c>
      <c r="D12" s="6" t="n">
        <f aca="false">IF(A12&gt;Hypothèses!$B$51,0,C12*Hypothèses!$B$50/12)</f>
        <v>1720</v>
      </c>
      <c r="E12" s="6" t="n">
        <f aca="false">F12-D12</f>
        <v>0</v>
      </c>
      <c r="F12" s="6" t="n">
        <f aca="false">IF(A12&gt;Hypothèses!$B$51,0,IF(A12&lt;=Hypothèses!$B$52,D12,PMT(Hypothèses!$B$50/12,Hypothèses!$B$51-Hypothèses!$B$52,-Hypothèses!$B$49)))</f>
        <v>1720</v>
      </c>
      <c r="G12" s="6" t="n">
        <f aca="false">C12-E12</f>
        <v>480000</v>
      </c>
      <c r="H12" s="6" t="n">
        <f aca="false">IF(A12&gt;Hypothèses!$B$51,0,Hypothèses!$B$49*Hypothèses!$B$53/12)</f>
        <v>120</v>
      </c>
      <c r="I12" s="6" t="n">
        <f aca="false">IF(A12&gt;Hypothèses!$B$51,0,C12*Hypothèses!$B$54/12)</f>
        <v>320</v>
      </c>
    </row>
    <row r="13" customFormat="false" ht="15" hidden="false" customHeight="false" outlineLevel="0" collapsed="false">
      <c r="A13" s="4" t="n">
        <v>9</v>
      </c>
      <c r="B13" s="4" t="n">
        <f aca="false">INT((A13-1)/12)+1</f>
        <v>1</v>
      </c>
      <c r="C13" s="6" t="n">
        <f aca="false">G12</f>
        <v>480000</v>
      </c>
      <c r="D13" s="6" t="n">
        <f aca="false">IF(A13&gt;Hypothèses!$B$51,0,C13*Hypothèses!$B$50/12)</f>
        <v>1720</v>
      </c>
      <c r="E13" s="6" t="n">
        <f aca="false">F13-D13</f>
        <v>0</v>
      </c>
      <c r="F13" s="6" t="n">
        <f aca="false">IF(A13&gt;Hypothèses!$B$51,0,IF(A13&lt;=Hypothèses!$B$52,D13,PMT(Hypothèses!$B$50/12,Hypothèses!$B$51-Hypothèses!$B$52,-Hypothèses!$B$49)))</f>
        <v>1720</v>
      </c>
      <c r="G13" s="6" t="n">
        <f aca="false">C13-E13</f>
        <v>480000</v>
      </c>
      <c r="H13" s="6" t="n">
        <f aca="false">IF(A13&gt;Hypothèses!$B$51,0,Hypothèses!$B$49*Hypothèses!$B$53/12)</f>
        <v>120</v>
      </c>
      <c r="I13" s="6" t="n">
        <f aca="false">IF(A13&gt;Hypothèses!$B$51,0,C13*Hypothèses!$B$54/12)</f>
        <v>320</v>
      </c>
    </row>
    <row r="14" customFormat="false" ht="15" hidden="false" customHeight="false" outlineLevel="0" collapsed="false">
      <c r="A14" s="4" t="n">
        <v>10</v>
      </c>
      <c r="B14" s="4" t="n">
        <f aca="false">INT((A14-1)/12)+1</f>
        <v>1</v>
      </c>
      <c r="C14" s="6" t="n">
        <f aca="false">G13</f>
        <v>480000</v>
      </c>
      <c r="D14" s="6" t="n">
        <f aca="false">IF(A14&gt;Hypothèses!$B$51,0,C14*Hypothèses!$B$50/12)</f>
        <v>1720</v>
      </c>
      <c r="E14" s="6" t="n">
        <f aca="false">F14-D14</f>
        <v>0</v>
      </c>
      <c r="F14" s="6" t="n">
        <f aca="false">IF(A14&gt;Hypothèses!$B$51,0,IF(A14&lt;=Hypothèses!$B$52,D14,PMT(Hypothèses!$B$50/12,Hypothèses!$B$51-Hypothèses!$B$52,-Hypothèses!$B$49)))</f>
        <v>1720</v>
      </c>
      <c r="G14" s="6" t="n">
        <f aca="false">C14-E14</f>
        <v>480000</v>
      </c>
      <c r="H14" s="6" t="n">
        <f aca="false">IF(A14&gt;Hypothèses!$B$51,0,Hypothèses!$B$49*Hypothèses!$B$53/12)</f>
        <v>120</v>
      </c>
      <c r="I14" s="6" t="n">
        <f aca="false">IF(A14&gt;Hypothèses!$B$51,0,C14*Hypothèses!$B$54/12)</f>
        <v>320</v>
      </c>
    </row>
    <row r="15" customFormat="false" ht="15" hidden="false" customHeight="false" outlineLevel="0" collapsed="false">
      <c r="A15" s="4" t="n">
        <v>11</v>
      </c>
      <c r="B15" s="4" t="n">
        <f aca="false">INT((A15-1)/12)+1</f>
        <v>1</v>
      </c>
      <c r="C15" s="6" t="n">
        <f aca="false">G14</f>
        <v>480000</v>
      </c>
      <c r="D15" s="6" t="n">
        <f aca="false">IF(A15&gt;Hypothèses!$B$51,0,C15*Hypothèses!$B$50/12)</f>
        <v>1720</v>
      </c>
      <c r="E15" s="6" t="n">
        <f aca="false">F15-D15</f>
        <v>0</v>
      </c>
      <c r="F15" s="6" t="n">
        <f aca="false">IF(A15&gt;Hypothèses!$B$51,0,IF(A15&lt;=Hypothèses!$B$52,D15,PMT(Hypothèses!$B$50/12,Hypothèses!$B$51-Hypothèses!$B$52,-Hypothèses!$B$49)))</f>
        <v>1720</v>
      </c>
      <c r="G15" s="6" t="n">
        <f aca="false">C15-E15</f>
        <v>480000</v>
      </c>
      <c r="H15" s="6" t="n">
        <f aca="false">IF(A15&gt;Hypothèses!$B$51,0,Hypothèses!$B$49*Hypothèses!$B$53/12)</f>
        <v>120</v>
      </c>
      <c r="I15" s="6" t="n">
        <f aca="false">IF(A15&gt;Hypothèses!$B$51,0,C15*Hypothèses!$B$54/12)</f>
        <v>320</v>
      </c>
    </row>
    <row r="16" customFormat="false" ht="15" hidden="false" customHeight="false" outlineLevel="0" collapsed="false">
      <c r="A16" s="4" t="n">
        <v>12</v>
      </c>
      <c r="B16" s="4" t="n">
        <f aca="false">INT((A16-1)/12)+1</f>
        <v>1</v>
      </c>
      <c r="C16" s="6" t="n">
        <f aca="false">G15</f>
        <v>480000</v>
      </c>
      <c r="D16" s="6" t="n">
        <f aca="false">IF(A16&gt;Hypothèses!$B$51,0,C16*Hypothèses!$B$50/12)</f>
        <v>1720</v>
      </c>
      <c r="E16" s="6" t="n">
        <f aca="false">F16-D16</f>
        <v>0</v>
      </c>
      <c r="F16" s="6" t="n">
        <f aca="false">IF(A16&gt;Hypothèses!$B$51,0,IF(A16&lt;=Hypothèses!$B$52,D16,PMT(Hypothèses!$B$50/12,Hypothèses!$B$51-Hypothèses!$B$52,-Hypothèses!$B$49)))</f>
        <v>1720</v>
      </c>
      <c r="G16" s="6" t="n">
        <f aca="false">C16-E16</f>
        <v>480000</v>
      </c>
      <c r="H16" s="6" t="n">
        <f aca="false">IF(A16&gt;Hypothèses!$B$51,0,Hypothèses!$B$49*Hypothèses!$B$53/12)</f>
        <v>120</v>
      </c>
      <c r="I16" s="6" t="n">
        <f aca="false">IF(A16&gt;Hypothèses!$B$51,0,C16*Hypothèses!$B$54/12)</f>
        <v>320</v>
      </c>
    </row>
    <row r="17" customFormat="false" ht="15" hidden="false" customHeight="false" outlineLevel="0" collapsed="false">
      <c r="A17" s="4" t="n">
        <v>13</v>
      </c>
      <c r="B17" s="4" t="n">
        <f aca="false">INT((A17-1)/12)+1</f>
        <v>2</v>
      </c>
      <c r="C17" s="6" t="n">
        <f aca="false">G16</f>
        <v>480000</v>
      </c>
      <c r="D17" s="6" t="n">
        <f aca="false">IF(A17&gt;Hypothèses!$B$51,0,C17*Hypothèses!$B$50/12)</f>
        <v>1720</v>
      </c>
      <c r="E17" s="6" t="n">
        <f aca="false">F17-D17</f>
        <v>5855.47715071207</v>
      </c>
      <c r="F17" s="6" t="n">
        <f aca="false">IF(A17&gt;Hypothèses!$B$51,0,IF(A17&lt;=Hypothèses!$B$52,D17,PMT(Hypothèses!$B$50/12,Hypothèses!$B$51-Hypothèses!$B$52,-Hypothèses!$B$49)))</f>
        <v>7575.47715071207</v>
      </c>
      <c r="G17" s="6" t="n">
        <f aca="false">C17-E17</f>
        <v>474144.522849288</v>
      </c>
      <c r="H17" s="6" t="n">
        <f aca="false">IF(A17&gt;Hypothèses!$B$51,0,Hypothèses!$B$49*Hypothèses!$B$53/12)</f>
        <v>120</v>
      </c>
      <c r="I17" s="6" t="n">
        <f aca="false">IF(A17&gt;Hypothèses!$B$51,0,C17*Hypothèses!$B$54/12)</f>
        <v>320</v>
      </c>
    </row>
    <row r="18" customFormat="false" ht="15" hidden="false" customHeight="false" outlineLevel="0" collapsed="false">
      <c r="A18" s="4" t="n">
        <v>14</v>
      </c>
      <c r="B18" s="4" t="n">
        <f aca="false">INT((A18-1)/12)+1</f>
        <v>2</v>
      </c>
      <c r="C18" s="6" t="n">
        <f aca="false">G17</f>
        <v>474144.522849288</v>
      </c>
      <c r="D18" s="6" t="n">
        <f aca="false">IF(A18&gt;Hypothèses!$B$51,0,C18*Hypothèses!$B$50/12)</f>
        <v>1699.01787354328</v>
      </c>
      <c r="E18" s="6" t="n">
        <f aca="false">F18-D18</f>
        <v>5876.45927716879</v>
      </c>
      <c r="F18" s="6" t="n">
        <f aca="false">IF(A18&gt;Hypothèses!$B$51,0,IF(A18&lt;=Hypothèses!$B$52,D18,PMT(Hypothèses!$B$50/12,Hypothèses!$B$51-Hypothèses!$B$52,-Hypothèses!$B$49)))</f>
        <v>7575.47715071207</v>
      </c>
      <c r="G18" s="6" t="n">
        <f aca="false">C18-E18</f>
        <v>468268.063572119</v>
      </c>
      <c r="H18" s="6" t="n">
        <f aca="false">IF(A18&gt;Hypothèses!$B$51,0,Hypothèses!$B$49*Hypothèses!$B$53/12)</f>
        <v>120</v>
      </c>
      <c r="I18" s="6" t="n">
        <f aca="false">IF(A18&gt;Hypothèses!$B$51,0,C18*Hypothèses!$B$54/12)</f>
        <v>316.096348566192</v>
      </c>
    </row>
    <row r="19" customFormat="false" ht="15" hidden="false" customHeight="false" outlineLevel="0" collapsed="false">
      <c r="A19" s="4" t="n">
        <v>15</v>
      </c>
      <c r="B19" s="4" t="n">
        <f aca="false">INT((A19-1)/12)+1</f>
        <v>2</v>
      </c>
      <c r="C19" s="6" t="n">
        <f aca="false">G18</f>
        <v>468268.063572119</v>
      </c>
      <c r="D19" s="6" t="n">
        <f aca="false">IF(A19&gt;Hypothèses!$B$51,0,C19*Hypothèses!$B$50/12)</f>
        <v>1677.96056113343</v>
      </c>
      <c r="E19" s="6" t="n">
        <f aca="false">F19-D19</f>
        <v>5897.51658957864</v>
      </c>
      <c r="F19" s="6" t="n">
        <f aca="false">IF(A19&gt;Hypothèses!$B$51,0,IF(A19&lt;=Hypothèses!$B$52,D19,PMT(Hypothèses!$B$50/12,Hypothèses!$B$51-Hypothèses!$B$52,-Hypothèses!$B$49)))</f>
        <v>7575.47715071207</v>
      </c>
      <c r="G19" s="6" t="n">
        <f aca="false">C19-E19</f>
        <v>462370.546982541</v>
      </c>
      <c r="H19" s="6" t="n">
        <f aca="false">IF(A19&gt;Hypothèses!$B$51,0,Hypothèses!$B$49*Hypothèses!$B$53/12)</f>
        <v>120</v>
      </c>
      <c r="I19" s="6" t="n">
        <f aca="false">IF(A19&gt;Hypothèses!$B$51,0,C19*Hypothèses!$B$54/12)</f>
        <v>312.178709048079</v>
      </c>
    </row>
    <row r="20" customFormat="false" ht="15" hidden="false" customHeight="false" outlineLevel="0" collapsed="false">
      <c r="A20" s="4" t="n">
        <v>16</v>
      </c>
      <c r="B20" s="4" t="n">
        <f aca="false">INT((A20-1)/12)+1</f>
        <v>2</v>
      </c>
      <c r="C20" s="6" t="n">
        <f aca="false">G19</f>
        <v>462370.546982541</v>
      </c>
      <c r="D20" s="6" t="n">
        <f aca="false">IF(A20&gt;Hypothèses!$B$51,0,C20*Hypothèses!$B$50/12)</f>
        <v>1656.8277933541</v>
      </c>
      <c r="E20" s="6" t="n">
        <f aca="false">F20-D20</f>
        <v>5918.64935735797</v>
      </c>
      <c r="F20" s="6" t="n">
        <f aca="false">IF(A20&gt;Hypothèses!$B$51,0,IF(A20&lt;=Hypothèses!$B$52,D20,PMT(Hypothèses!$B$50/12,Hypothèses!$B$51-Hypothèses!$B$52,-Hypothèses!$B$49)))</f>
        <v>7575.47715071207</v>
      </c>
      <c r="G20" s="6" t="n">
        <f aca="false">C20-E20</f>
        <v>456451.897625183</v>
      </c>
      <c r="H20" s="6" t="n">
        <f aca="false">IF(A20&gt;Hypothèses!$B$51,0,Hypothèses!$B$49*Hypothèses!$B$53/12)</f>
        <v>120</v>
      </c>
      <c r="I20" s="6" t="n">
        <f aca="false">IF(A20&gt;Hypothèses!$B$51,0,C20*Hypothèses!$B$54/12)</f>
        <v>308.247031321694</v>
      </c>
    </row>
    <row r="21" customFormat="false" ht="15" hidden="false" customHeight="false" outlineLevel="0" collapsed="false">
      <c r="A21" s="4" t="n">
        <v>17</v>
      </c>
      <c r="B21" s="4" t="n">
        <f aca="false">INT((A21-1)/12)+1</f>
        <v>2</v>
      </c>
      <c r="C21" s="6" t="n">
        <f aca="false">G20</f>
        <v>456451.897625183</v>
      </c>
      <c r="D21" s="6" t="n">
        <f aca="false">IF(A21&gt;Hypothèses!$B$51,0,C21*Hypothèses!$B$50/12)</f>
        <v>1635.61929982357</v>
      </c>
      <c r="E21" s="6" t="n">
        <f aca="false">F21-D21</f>
        <v>5939.8578508885</v>
      </c>
      <c r="F21" s="6" t="n">
        <f aca="false">IF(A21&gt;Hypothèses!$B$51,0,IF(A21&lt;=Hypothèses!$B$52,D21,PMT(Hypothèses!$B$50/12,Hypothèses!$B$51-Hypothèses!$B$52,-Hypothèses!$B$49)))</f>
        <v>7575.47715071207</v>
      </c>
      <c r="G21" s="6" t="n">
        <f aca="false">C21-E21</f>
        <v>450512.039774294</v>
      </c>
      <c r="H21" s="6" t="n">
        <f aca="false">IF(A21&gt;Hypothèses!$B$51,0,Hypothèses!$B$49*Hypothèses!$B$53/12)</f>
        <v>120</v>
      </c>
      <c r="I21" s="6" t="n">
        <f aca="false">IF(A21&gt;Hypothèses!$B$51,0,C21*Hypothèses!$B$54/12)</f>
        <v>304.301265083455</v>
      </c>
    </row>
    <row r="22" customFormat="false" ht="15" hidden="false" customHeight="false" outlineLevel="0" collapsed="false">
      <c r="A22" s="4" t="n">
        <v>18</v>
      </c>
      <c r="B22" s="4" t="n">
        <f aca="false">INT((A22-1)/12)+1</f>
        <v>2</v>
      </c>
      <c r="C22" s="6" t="n">
        <f aca="false">G21</f>
        <v>450512.039774294</v>
      </c>
      <c r="D22" s="6" t="n">
        <f aca="false">IF(A22&gt;Hypothèses!$B$51,0,C22*Hypothèses!$B$50/12)</f>
        <v>1614.33480919122</v>
      </c>
      <c r="E22" s="6" t="n">
        <f aca="false">F22-D22</f>
        <v>5961.14234152085</v>
      </c>
      <c r="F22" s="6" t="n">
        <f aca="false">IF(A22&gt;Hypothèses!$B$51,0,IF(A22&lt;=Hypothèses!$B$52,D22,PMT(Hypothèses!$B$50/12,Hypothèses!$B$51-Hypothèses!$B$52,-Hypothèses!$B$49)))</f>
        <v>7575.47715071207</v>
      </c>
      <c r="G22" s="6" t="n">
        <f aca="false">C22-E22</f>
        <v>444550.897432773</v>
      </c>
      <c r="H22" s="6" t="n">
        <f aca="false">IF(A22&gt;Hypothèses!$B$51,0,Hypothèses!$B$49*Hypothèses!$B$53/12)</f>
        <v>120</v>
      </c>
      <c r="I22" s="6" t="n">
        <f aca="false">IF(A22&gt;Hypothèses!$B$51,0,C22*Hypothèses!$B$54/12)</f>
        <v>300.341359849529</v>
      </c>
    </row>
    <row r="23" customFormat="false" ht="15" hidden="false" customHeight="false" outlineLevel="0" collapsed="false">
      <c r="A23" s="4" t="n">
        <v>19</v>
      </c>
      <c r="B23" s="4" t="n">
        <f aca="false">INT((A23-1)/12)+1</f>
        <v>2</v>
      </c>
      <c r="C23" s="6" t="n">
        <f aca="false">G22</f>
        <v>444550.897432773</v>
      </c>
      <c r="D23" s="6" t="n">
        <f aca="false">IF(A23&gt;Hypothèses!$B$51,0,C23*Hypothèses!$B$50/12)</f>
        <v>1592.9740491341</v>
      </c>
      <c r="E23" s="6" t="n">
        <f aca="false">F23-D23</f>
        <v>5982.50310157797</v>
      </c>
      <c r="F23" s="6" t="n">
        <f aca="false">IF(A23&gt;Hypothèses!$B$51,0,IF(A23&lt;=Hypothèses!$B$52,D23,PMT(Hypothèses!$B$50/12,Hypothèses!$B$51-Hypothèses!$B$52,-Hypothèses!$B$49)))</f>
        <v>7575.47715071207</v>
      </c>
      <c r="G23" s="6" t="n">
        <f aca="false">C23-E23</f>
        <v>438568.394331195</v>
      </c>
      <c r="H23" s="6" t="n">
        <f aca="false">IF(A23&gt;Hypothèses!$B$51,0,Hypothèses!$B$49*Hypothèses!$B$53/12)</f>
        <v>120</v>
      </c>
      <c r="I23" s="6" t="n">
        <f aca="false">IF(A23&gt;Hypothèses!$B$51,0,C23*Hypothèses!$B$54/12)</f>
        <v>296.367264955182</v>
      </c>
    </row>
    <row r="24" customFormat="false" ht="15" hidden="false" customHeight="false" outlineLevel="0" collapsed="false">
      <c r="A24" s="4" t="n">
        <v>20</v>
      </c>
      <c r="B24" s="4" t="n">
        <f aca="false">INT((A24-1)/12)+1</f>
        <v>2</v>
      </c>
      <c r="C24" s="6" t="n">
        <f aca="false">G23</f>
        <v>438568.394331195</v>
      </c>
      <c r="D24" s="6" t="n">
        <f aca="false">IF(A24&gt;Hypothèses!$B$51,0,C24*Hypothèses!$B$50/12)</f>
        <v>1571.53674635345</v>
      </c>
      <c r="E24" s="6" t="n">
        <f aca="false">F24-D24</f>
        <v>6003.94040435862</v>
      </c>
      <c r="F24" s="6" t="n">
        <f aca="false">IF(A24&gt;Hypothèses!$B$51,0,IF(A24&lt;=Hypothèses!$B$52,D24,PMT(Hypothèses!$B$50/12,Hypothèses!$B$51-Hypothèses!$B$52,-Hypothèses!$B$49)))</f>
        <v>7575.47715071207</v>
      </c>
      <c r="G24" s="6" t="n">
        <f aca="false">C24-E24</f>
        <v>432564.453926837</v>
      </c>
      <c r="H24" s="6" t="n">
        <f aca="false">IF(A24&gt;Hypothèses!$B$51,0,Hypothèses!$B$49*Hypothèses!$B$53/12)</f>
        <v>120</v>
      </c>
      <c r="I24" s="6" t="n">
        <f aca="false">IF(A24&gt;Hypothèses!$B$51,0,C24*Hypothèses!$B$54/12)</f>
        <v>292.37892955413</v>
      </c>
    </row>
    <row r="25" customFormat="false" ht="15" hidden="false" customHeight="false" outlineLevel="0" collapsed="false">
      <c r="A25" s="4" t="n">
        <v>21</v>
      </c>
      <c r="B25" s="4" t="n">
        <f aca="false">INT((A25-1)/12)+1</f>
        <v>2</v>
      </c>
      <c r="C25" s="6" t="n">
        <f aca="false">G24</f>
        <v>432564.453926837</v>
      </c>
      <c r="D25" s="6" t="n">
        <f aca="false">IF(A25&gt;Hypothèses!$B$51,0,C25*Hypothèses!$B$50/12)</f>
        <v>1550.02262657116</v>
      </c>
      <c r="E25" s="6" t="n">
        <f aca="false">F25-D25</f>
        <v>6025.45452414091</v>
      </c>
      <c r="F25" s="6" t="n">
        <f aca="false">IF(A25&gt;Hypothèses!$B$51,0,IF(A25&lt;=Hypothèses!$B$52,D25,PMT(Hypothèses!$B$50/12,Hypothèses!$B$51-Hypothèses!$B$52,-Hypothèses!$B$49)))</f>
        <v>7575.47715071207</v>
      </c>
      <c r="G25" s="6" t="n">
        <f aca="false">C25-E25</f>
        <v>426538.999402696</v>
      </c>
      <c r="H25" s="6" t="n">
        <f aca="false">IF(A25&gt;Hypothèses!$B$51,0,Hypothèses!$B$49*Hypothèses!$B$53/12)</f>
        <v>120</v>
      </c>
      <c r="I25" s="6" t="n">
        <f aca="false">IF(A25&gt;Hypothèses!$B$51,0,C25*Hypothèses!$B$54/12)</f>
        <v>288.376302617891</v>
      </c>
    </row>
    <row r="26" customFormat="false" ht="15" hidden="false" customHeight="false" outlineLevel="0" collapsed="false">
      <c r="A26" s="4" t="n">
        <v>22</v>
      </c>
      <c r="B26" s="4" t="n">
        <f aca="false">INT((A26-1)/12)+1</f>
        <v>2</v>
      </c>
      <c r="C26" s="6" t="n">
        <f aca="false">G25</f>
        <v>426538.999402696</v>
      </c>
      <c r="D26" s="6" t="n">
        <f aca="false">IF(A26&gt;Hypothèses!$B$51,0,C26*Hypothèses!$B$50/12)</f>
        <v>1528.43141452633</v>
      </c>
      <c r="E26" s="6" t="n">
        <f aca="false">F26-D26</f>
        <v>6047.04573618574</v>
      </c>
      <c r="F26" s="6" t="n">
        <f aca="false">IF(A26&gt;Hypothèses!$B$51,0,IF(A26&lt;=Hypothèses!$B$52,D26,PMT(Hypothèses!$B$50/12,Hypothèses!$B$51-Hypothèses!$B$52,-Hypothèses!$B$49)))</f>
        <v>7575.47715071207</v>
      </c>
      <c r="G26" s="6" t="n">
        <f aca="false">C26-E26</f>
        <v>420491.95366651</v>
      </c>
      <c r="H26" s="6" t="n">
        <f aca="false">IF(A26&gt;Hypothèses!$B$51,0,Hypothèses!$B$49*Hypothèses!$B$53/12)</f>
        <v>120</v>
      </c>
      <c r="I26" s="6" t="n">
        <f aca="false">IF(A26&gt;Hypothèses!$B$51,0,C26*Hypothèses!$B$54/12)</f>
        <v>284.35933293513</v>
      </c>
    </row>
    <row r="27" customFormat="false" ht="15" hidden="false" customHeight="false" outlineLevel="0" collapsed="false">
      <c r="A27" s="4" t="n">
        <v>23</v>
      </c>
      <c r="B27" s="4" t="n">
        <f aca="false">INT((A27-1)/12)+1</f>
        <v>2</v>
      </c>
      <c r="C27" s="6" t="n">
        <f aca="false">G26</f>
        <v>420491.95366651</v>
      </c>
      <c r="D27" s="6" t="n">
        <f aca="false">IF(A27&gt;Hypothèses!$B$51,0,C27*Hypothèses!$B$50/12)</f>
        <v>1506.76283397166</v>
      </c>
      <c r="E27" s="6" t="n">
        <f aca="false">F27-D27</f>
        <v>6068.71431674041</v>
      </c>
      <c r="F27" s="6" t="n">
        <f aca="false">IF(A27&gt;Hypothèses!$B$51,0,IF(A27&lt;=Hypothèses!$B$52,D27,PMT(Hypothèses!$B$50/12,Hypothèses!$B$51-Hypothèses!$B$52,-Hypothèses!$B$49)))</f>
        <v>7575.47715071207</v>
      </c>
      <c r="G27" s="6" t="n">
        <f aca="false">C27-E27</f>
        <v>414423.23934977</v>
      </c>
      <c r="H27" s="6" t="n">
        <f aca="false">IF(A27&gt;Hypothèses!$B$51,0,Hypothèses!$B$49*Hypothèses!$B$53/12)</f>
        <v>120</v>
      </c>
      <c r="I27" s="6" t="n">
        <f aca="false">IF(A27&gt;Hypothèses!$B$51,0,C27*Hypothèses!$B$54/12)</f>
        <v>280.327969111007</v>
      </c>
    </row>
    <row r="28" customFormat="false" ht="15" hidden="false" customHeight="false" outlineLevel="0" collapsed="false">
      <c r="A28" s="4" t="n">
        <v>24</v>
      </c>
      <c r="B28" s="4" t="n">
        <f aca="false">INT((A28-1)/12)+1</f>
        <v>2</v>
      </c>
      <c r="C28" s="6" t="n">
        <f aca="false">G27</f>
        <v>414423.23934977</v>
      </c>
      <c r="D28" s="6" t="n">
        <f aca="false">IF(A28&gt;Hypothèses!$B$51,0,C28*Hypothèses!$B$50/12)</f>
        <v>1485.01660767001</v>
      </c>
      <c r="E28" s="6" t="n">
        <f aca="false">F28-D28</f>
        <v>6090.46054304206</v>
      </c>
      <c r="F28" s="6" t="n">
        <f aca="false">IF(A28&gt;Hypothèses!$B$51,0,IF(A28&lt;=Hypothèses!$B$52,D28,PMT(Hypothèses!$B$50/12,Hypothèses!$B$51-Hypothèses!$B$52,-Hypothèses!$B$49)))</f>
        <v>7575.47715071207</v>
      </c>
      <c r="G28" s="6" t="n">
        <f aca="false">C28-E28</f>
        <v>408332.778806727</v>
      </c>
      <c r="H28" s="6" t="n">
        <f aca="false">IF(A28&gt;Hypothèses!$B$51,0,Hypothèses!$B$49*Hypothèses!$B$53/12)</f>
        <v>120</v>
      </c>
      <c r="I28" s="6" t="n">
        <f aca="false">IF(A28&gt;Hypothèses!$B$51,0,C28*Hypothèses!$B$54/12)</f>
        <v>276.282159566513</v>
      </c>
    </row>
    <row r="29" customFormat="false" ht="15" hidden="false" customHeight="false" outlineLevel="0" collapsed="false">
      <c r="A29" s="4" t="n">
        <v>25</v>
      </c>
      <c r="B29" s="4" t="n">
        <f aca="false">INT((A29-1)/12)+1</f>
        <v>3</v>
      </c>
      <c r="C29" s="6" t="n">
        <f aca="false">G28</f>
        <v>408332.778806727</v>
      </c>
      <c r="D29" s="6" t="n">
        <f aca="false">IF(A29&gt;Hypothèses!$B$51,0,C29*Hypothèses!$B$50/12)</f>
        <v>1463.19245739077</v>
      </c>
      <c r="E29" s="6" t="n">
        <f aca="false">F29-D29</f>
        <v>6112.2846933213</v>
      </c>
      <c r="F29" s="6" t="n">
        <f aca="false">IF(A29&gt;Hypothèses!$B$51,0,IF(A29&lt;=Hypothèses!$B$52,D29,PMT(Hypothèses!$B$50/12,Hypothèses!$B$51-Hypothèses!$B$52,-Hypothèses!$B$49)))</f>
        <v>7575.47715071207</v>
      </c>
      <c r="G29" s="6" t="n">
        <f aca="false">C29-E29</f>
        <v>402220.494113406</v>
      </c>
      <c r="H29" s="6" t="n">
        <f aca="false">IF(A29&gt;Hypothèses!$B$51,0,Hypothèses!$B$49*Hypothèses!$B$53/12)</f>
        <v>120</v>
      </c>
      <c r="I29" s="6" t="n">
        <f aca="false">IF(A29&gt;Hypothèses!$B$51,0,C29*Hypothèses!$B$54/12)</f>
        <v>272.221852537818</v>
      </c>
    </row>
    <row r="30" customFormat="false" ht="15" hidden="false" customHeight="false" outlineLevel="0" collapsed="false">
      <c r="A30" s="4" t="n">
        <v>26</v>
      </c>
      <c r="B30" s="4" t="n">
        <f aca="false">INT((A30-1)/12)+1</f>
        <v>3</v>
      </c>
      <c r="C30" s="6" t="n">
        <f aca="false">G29</f>
        <v>402220.494113406</v>
      </c>
      <c r="D30" s="6" t="n">
        <f aca="false">IF(A30&gt;Hypothèses!$B$51,0,C30*Hypothèses!$B$50/12)</f>
        <v>1441.29010390637</v>
      </c>
      <c r="E30" s="6" t="n">
        <f aca="false">F30-D30</f>
        <v>6134.1870468057</v>
      </c>
      <c r="F30" s="6" t="n">
        <f aca="false">IF(A30&gt;Hypothèses!$B$51,0,IF(A30&lt;=Hypothèses!$B$52,D30,PMT(Hypothèses!$B$50/12,Hypothèses!$B$51-Hypothèses!$B$52,-Hypothèses!$B$49)))</f>
        <v>7575.47715071207</v>
      </c>
      <c r="G30" s="6" t="n">
        <f aca="false">C30-E30</f>
        <v>396086.307066601</v>
      </c>
      <c r="H30" s="6" t="n">
        <f aca="false">IF(A30&gt;Hypothèses!$B$51,0,Hypothèses!$B$49*Hypothèses!$B$53/12)</f>
        <v>120</v>
      </c>
      <c r="I30" s="6" t="n">
        <f aca="false">IF(A30&gt;Hypothèses!$B$51,0,C30*Hypothèses!$B$54/12)</f>
        <v>268.146996075604</v>
      </c>
    </row>
    <row r="31" customFormat="false" ht="15" hidden="false" customHeight="false" outlineLevel="0" collapsed="false">
      <c r="A31" s="4" t="n">
        <v>27</v>
      </c>
      <c r="B31" s="4" t="n">
        <f aca="false">INT((A31-1)/12)+1</f>
        <v>3</v>
      </c>
      <c r="C31" s="6" t="n">
        <f aca="false">G30</f>
        <v>396086.307066601</v>
      </c>
      <c r="D31" s="6" t="n">
        <f aca="false">IF(A31&gt;Hypothèses!$B$51,0,C31*Hypothèses!$B$50/12)</f>
        <v>1419.30926698865</v>
      </c>
      <c r="E31" s="6" t="n">
        <f aca="false">F31-D31</f>
        <v>6156.16788372342</v>
      </c>
      <c r="F31" s="6" t="n">
        <f aca="false">IF(A31&gt;Hypothèses!$B$51,0,IF(A31&lt;=Hypothèses!$B$52,D31,PMT(Hypothèses!$B$50/12,Hypothèses!$B$51-Hypothèses!$B$52,-Hypothèses!$B$49)))</f>
        <v>7575.47715071207</v>
      </c>
      <c r="G31" s="6" t="n">
        <f aca="false">C31-E31</f>
        <v>389930.139182877</v>
      </c>
      <c r="H31" s="6" t="n">
        <f aca="false">IF(A31&gt;Hypothèses!$B$51,0,Hypothèses!$B$49*Hypothèses!$B$53/12)</f>
        <v>120</v>
      </c>
      <c r="I31" s="6" t="n">
        <f aca="false">IF(A31&gt;Hypothèses!$B$51,0,C31*Hypothèses!$B$54/12)</f>
        <v>264.0575380444</v>
      </c>
    </row>
    <row r="32" customFormat="false" ht="15" hidden="false" customHeight="false" outlineLevel="0" collapsed="false">
      <c r="A32" s="4" t="n">
        <v>28</v>
      </c>
      <c r="B32" s="4" t="n">
        <f aca="false">INT((A32-1)/12)+1</f>
        <v>3</v>
      </c>
      <c r="C32" s="6" t="n">
        <f aca="false">G31</f>
        <v>389930.139182877</v>
      </c>
      <c r="D32" s="6" t="n">
        <f aca="false">IF(A32&gt;Hypothèses!$B$51,0,C32*Hypothèses!$B$50/12)</f>
        <v>1397.24966540531</v>
      </c>
      <c r="E32" s="6" t="n">
        <f aca="false">F32-D32</f>
        <v>6178.22748530676</v>
      </c>
      <c r="F32" s="6" t="n">
        <f aca="false">IF(A32&gt;Hypothèses!$B$51,0,IF(A32&lt;=Hypothèses!$B$52,D32,PMT(Hypothèses!$B$50/12,Hypothèses!$B$51-Hypothèses!$B$52,-Hypothèses!$B$49)))</f>
        <v>7575.47715071207</v>
      </c>
      <c r="G32" s="6" t="n">
        <f aca="false">C32-E32</f>
        <v>383751.91169757</v>
      </c>
      <c r="H32" s="6" t="n">
        <f aca="false">IF(A32&gt;Hypothèses!$B$51,0,Hypothèses!$B$49*Hypothèses!$B$53/12)</f>
        <v>120</v>
      </c>
      <c r="I32" s="6" t="n">
        <f aca="false">IF(A32&gt;Hypothèses!$B$51,0,C32*Hypothèses!$B$54/12)</f>
        <v>259.953426121918</v>
      </c>
    </row>
    <row r="33" customFormat="false" ht="15" hidden="false" customHeight="false" outlineLevel="0" collapsed="false">
      <c r="A33" s="4" t="n">
        <v>29</v>
      </c>
      <c r="B33" s="4" t="n">
        <f aca="false">INT((A33-1)/12)+1</f>
        <v>3</v>
      </c>
      <c r="C33" s="6" t="n">
        <f aca="false">G32</f>
        <v>383751.91169757</v>
      </c>
      <c r="D33" s="6" t="n">
        <f aca="false">IF(A33&gt;Hypothèses!$B$51,0,C33*Hypothèses!$B$50/12)</f>
        <v>1375.11101691629</v>
      </c>
      <c r="E33" s="6" t="n">
        <f aca="false">F33-D33</f>
        <v>6200.36613379578</v>
      </c>
      <c r="F33" s="6" t="n">
        <f aca="false">IF(A33&gt;Hypothèses!$B$51,0,IF(A33&lt;=Hypothèses!$B$52,D33,PMT(Hypothèses!$B$50/12,Hypothèses!$B$51-Hypothèses!$B$52,-Hypothèses!$B$49)))</f>
        <v>7575.47715071207</v>
      </c>
      <c r="G33" s="6" t="n">
        <f aca="false">C33-E33</f>
        <v>377551.545563775</v>
      </c>
      <c r="H33" s="6" t="n">
        <f aca="false">IF(A33&gt;Hypothèses!$B$51,0,Hypothèses!$B$49*Hypothèses!$B$53/12)</f>
        <v>120</v>
      </c>
      <c r="I33" s="6" t="n">
        <f aca="false">IF(A33&gt;Hypothèses!$B$51,0,C33*Hypothèses!$B$54/12)</f>
        <v>255.83460779838</v>
      </c>
    </row>
    <row r="34" customFormat="false" ht="15" hidden="false" customHeight="false" outlineLevel="0" collapsed="false">
      <c r="A34" s="4" t="n">
        <v>30</v>
      </c>
      <c r="B34" s="4" t="n">
        <f aca="false">INT((A34-1)/12)+1</f>
        <v>3</v>
      </c>
      <c r="C34" s="6" t="n">
        <f aca="false">G33</f>
        <v>377551.545563775</v>
      </c>
      <c r="D34" s="6" t="n">
        <f aca="false">IF(A34&gt;Hypothèses!$B$51,0,C34*Hypothèses!$B$50/12)</f>
        <v>1352.89303827019</v>
      </c>
      <c r="E34" s="6" t="n">
        <f aca="false">F34-D34</f>
        <v>6222.58411244188</v>
      </c>
      <c r="F34" s="6" t="n">
        <f aca="false">IF(A34&gt;Hypothèses!$B$51,0,IF(A34&lt;=Hypothèses!$B$52,D34,PMT(Hypothèses!$B$50/12,Hypothèses!$B$51-Hypothèses!$B$52,-Hypothèses!$B$49)))</f>
        <v>7575.47715071207</v>
      </c>
      <c r="G34" s="6" t="n">
        <f aca="false">C34-E34</f>
        <v>371328.961451333</v>
      </c>
      <c r="H34" s="6" t="n">
        <f aca="false">IF(A34&gt;Hypothèses!$B$51,0,Hypothèses!$B$49*Hypothèses!$B$53/12)</f>
        <v>120</v>
      </c>
      <c r="I34" s="6" t="n">
        <f aca="false">IF(A34&gt;Hypothèses!$B$51,0,C34*Hypothèses!$B$54/12)</f>
        <v>251.70103037585</v>
      </c>
    </row>
    <row r="35" customFormat="false" ht="15" hidden="false" customHeight="false" outlineLevel="0" collapsed="false">
      <c r="A35" s="4" t="n">
        <v>31</v>
      </c>
      <c r="B35" s="4" t="n">
        <f aca="false">INT((A35-1)/12)+1</f>
        <v>3</v>
      </c>
      <c r="C35" s="6" t="n">
        <f aca="false">G34</f>
        <v>371328.961451333</v>
      </c>
      <c r="D35" s="6" t="n">
        <f aca="false">IF(A35&gt;Hypothèses!$B$51,0,C35*Hypothèses!$B$50/12)</f>
        <v>1330.59544520061</v>
      </c>
      <c r="E35" s="6" t="n">
        <f aca="false">F35-D35</f>
        <v>6244.88170551146</v>
      </c>
      <c r="F35" s="6" t="n">
        <f aca="false">IF(A35&gt;Hypothèses!$B$51,0,IF(A35&lt;=Hypothèses!$B$52,D35,PMT(Hypothèses!$B$50/12,Hypothèses!$B$51-Hypothèses!$B$52,-Hypothèses!$B$49)))</f>
        <v>7575.47715071207</v>
      </c>
      <c r="G35" s="6" t="n">
        <f aca="false">C35-E35</f>
        <v>365084.079745821</v>
      </c>
      <c r="H35" s="6" t="n">
        <f aca="false">IF(A35&gt;Hypothèses!$B$51,0,Hypothèses!$B$49*Hypothèses!$B$53/12)</f>
        <v>120</v>
      </c>
      <c r="I35" s="6" t="n">
        <f aca="false">IF(A35&gt;Hypothèses!$B$51,0,C35*Hypothèses!$B$54/12)</f>
        <v>247.552640967555</v>
      </c>
    </row>
    <row r="36" customFormat="false" ht="15" hidden="false" customHeight="false" outlineLevel="0" collapsed="false">
      <c r="A36" s="4" t="n">
        <v>32</v>
      </c>
      <c r="B36" s="4" t="n">
        <f aca="false">INT((A36-1)/12)+1</f>
        <v>3</v>
      </c>
      <c r="C36" s="6" t="n">
        <f aca="false">G35</f>
        <v>365084.079745821</v>
      </c>
      <c r="D36" s="6" t="n">
        <f aca="false">IF(A36&gt;Hypothèses!$B$51,0,C36*Hypothèses!$B$50/12)</f>
        <v>1308.21795242253</v>
      </c>
      <c r="E36" s="6" t="n">
        <f aca="false">F36-D36</f>
        <v>6267.25919828954</v>
      </c>
      <c r="F36" s="6" t="n">
        <f aca="false">IF(A36&gt;Hypothèses!$B$51,0,IF(A36&lt;=Hypothèses!$B$52,D36,PMT(Hypothèses!$B$50/12,Hypothèses!$B$51-Hypothèses!$B$52,-Hypothèses!$B$49)))</f>
        <v>7575.47715071207</v>
      </c>
      <c r="G36" s="6" t="n">
        <f aca="false">C36-E36</f>
        <v>358816.820547532</v>
      </c>
      <c r="H36" s="6" t="n">
        <f aca="false">IF(A36&gt;Hypothèses!$B$51,0,Hypothèses!$B$49*Hypothèses!$B$53/12)</f>
        <v>120</v>
      </c>
      <c r="I36" s="6" t="n">
        <f aca="false">IF(A36&gt;Hypothèses!$B$51,0,C36*Hypothèses!$B$54/12)</f>
        <v>243.389386497214</v>
      </c>
    </row>
    <row r="37" customFormat="false" ht="15" hidden="false" customHeight="false" outlineLevel="0" collapsed="false">
      <c r="A37" s="4" t="n">
        <v>33</v>
      </c>
      <c r="B37" s="4" t="n">
        <f aca="false">INT((A37-1)/12)+1</f>
        <v>3</v>
      </c>
      <c r="C37" s="6" t="n">
        <f aca="false">G36</f>
        <v>358816.820547532</v>
      </c>
      <c r="D37" s="6" t="n">
        <f aca="false">IF(A37&gt;Hypothèses!$B$51,0,C37*Hypothèses!$B$50/12)</f>
        <v>1285.76027362866</v>
      </c>
      <c r="E37" s="6" t="n">
        <f aca="false">F37-D37</f>
        <v>6289.71687708341</v>
      </c>
      <c r="F37" s="6" t="n">
        <f aca="false">IF(A37&gt;Hypothèses!$B$51,0,IF(A37&lt;=Hypothèses!$B$52,D37,PMT(Hypothèses!$B$50/12,Hypothèses!$B$51-Hypothèses!$B$52,-Hypothèses!$B$49)))</f>
        <v>7575.47715071207</v>
      </c>
      <c r="G37" s="6" t="n">
        <f aca="false">C37-E37</f>
        <v>352527.103670448</v>
      </c>
      <c r="H37" s="6" t="n">
        <f aca="false">IF(A37&gt;Hypothèses!$B$51,0,Hypothèses!$B$49*Hypothèses!$B$53/12)</f>
        <v>120</v>
      </c>
      <c r="I37" s="6" t="n">
        <f aca="false">IF(A37&gt;Hypothèses!$B$51,0,C37*Hypothèses!$B$54/12)</f>
        <v>239.211213698355</v>
      </c>
    </row>
    <row r="38" customFormat="false" ht="15" hidden="false" customHeight="false" outlineLevel="0" collapsed="false">
      <c r="A38" s="4" t="n">
        <v>34</v>
      </c>
      <c r="B38" s="4" t="n">
        <f aca="false">INT((A38-1)/12)+1</f>
        <v>3</v>
      </c>
      <c r="C38" s="6" t="n">
        <f aca="false">G37</f>
        <v>352527.103670448</v>
      </c>
      <c r="D38" s="6" t="n">
        <f aca="false">IF(A38&gt;Hypothèses!$B$51,0,C38*Hypothèses!$B$50/12)</f>
        <v>1263.22212148577</v>
      </c>
      <c r="E38" s="6" t="n">
        <f aca="false">F38-D38</f>
        <v>6312.2550292263</v>
      </c>
      <c r="F38" s="6" t="n">
        <f aca="false">IF(A38&gt;Hypothèses!$B$51,0,IF(A38&lt;=Hypothèses!$B$52,D38,PMT(Hypothèses!$B$50/12,Hypothèses!$B$51-Hypothèses!$B$52,-Hypothèses!$B$49)))</f>
        <v>7575.47715071207</v>
      </c>
      <c r="G38" s="6" t="n">
        <f aca="false">C38-E38</f>
        <v>346214.848641222</v>
      </c>
      <c r="H38" s="6" t="n">
        <f aca="false">IF(A38&gt;Hypothèses!$B$51,0,Hypothèses!$B$49*Hypothèses!$B$53/12)</f>
        <v>120</v>
      </c>
      <c r="I38" s="6" t="n">
        <f aca="false">IF(A38&gt;Hypothèses!$B$51,0,C38*Hypothèses!$B$54/12)</f>
        <v>235.018069113632</v>
      </c>
    </row>
    <row r="39" customFormat="false" ht="15" hidden="false" customHeight="false" outlineLevel="0" collapsed="false">
      <c r="A39" s="4" t="n">
        <v>35</v>
      </c>
      <c r="B39" s="4" t="n">
        <f aca="false">INT((A39-1)/12)+1</f>
        <v>3</v>
      </c>
      <c r="C39" s="6" t="n">
        <f aca="false">G38</f>
        <v>346214.848641222</v>
      </c>
      <c r="D39" s="6" t="n">
        <f aca="false">IF(A39&gt;Hypothèses!$B$51,0,C39*Hypothèses!$B$50/12)</f>
        <v>1240.60320763105</v>
      </c>
      <c r="E39" s="6" t="n">
        <f aca="false">F39-D39</f>
        <v>6334.87394308102</v>
      </c>
      <c r="F39" s="6" t="n">
        <f aca="false">IF(A39&gt;Hypothèses!$B$51,0,IF(A39&lt;=Hypothèses!$B$52,D39,PMT(Hypothèses!$B$50/12,Hypothèses!$B$51-Hypothèses!$B$52,-Hypothèses!$B$49)))</f>
        <v>7575.47715071207</v>
      </c>
      <c r="G39" s="6" t="n">
        <f aca="false">C39-E39</f>
        <v>339879.974698141</v>
      </c>
      <c r="H39" s="6" t="n">
        <f aca="false">IF(A39&gt;Hypothèses!$B$51,0,Hypothèses!$B$49*Hypothèses!$B$53/12)</f>
        <v>120</v>
      </c>
      <c r="I39" s="6" t="n">
        <f aca="false">IF(A39&gt;Hypothèses!$B$51,0,C39*Hypothèses!$B$54/12)</f>
        <v>230.809899094148</v>
      </c>
    </row>
    <row r="40" customFormat="false" ht="15" hidden="false" customHeight="false" outlineLevel="0" collapsed="false">
      <c r="A40" s="4" t="n">
        <v>36</v>
      </c>
      <c r="B40" s="4" t="n">
        <f aca="false">INT((A40-1)/12)+1</f>
        <v>3</v>
      </c>
      <c r="C40" s="6" t="n">
        <f aca="false">G39</f>
        <v>339879.974698141</v>
      </c>
      <c r="D40" s="6" t="n">
        <f aca="false">IF(A40&gt;Hypothèses!$B$51,0,C40*Hypothèses!$B$50/12)</f>
        <v>1217.90324266834</v>
      </c>
      <c r="E40" s="6" t="n">
        <f aca="false">F40-D40</f>
        <v>6357.57390804373</v>
      </c>
      <c r="F40" s="6" t="n">
        <f aca="false">IF(A40&gt;Hypothèses!$B$51,0,IF(A40&lt;=Hypothèses!$B$52,D40,PMT(Hypothèses!$B$50/12,Hypothèses!$B$51-Hypothèses!$B$52,-Hypothèses!$B$49)))</f>
        <v>7575.47715071207</v>
      </c>
      <c r="G40" s="6" t="n">
        <f aca="false">C40-E40</f>
        <v>333522.400790097</v>
      </c>
      <c r="H40" s="6" t="n">
        <f aca="false">IF(A40&gt;Hypothèses!$B$51,0,Hypothèses!$B$49*Hypothèses!$B$53/12)</f>
        <v>120</v>
      </c>
      <c r="I40" s="6" t="n">
        <f aca="false">IF(A40&gt;Hypothèses!$B$51,0,C40*Hypothèses!$B$54/12)</f>
        <v>226.586649798761</v>
      </c>
    </row>
    <row r="41" customFormat="false" ht="15" hidden="false" customHeight="false" outlineLevel="0" collapsed="false">
      <c r="A41" s="4" t="n">
        <v>37</v>
      </c>
      <c r="B41" s="4" t="n">
        <f aca="false">INT((A41-1)/12)+1</f>
        <v>4</v>
      </c>
      <c r="C41" s="6" t="n">
        <f aca="false">G40</f>
        <v>333522.400790097</v>
      </c>
      <c r="D41" s="6" t="n">
        <f aca="false">IF(A41&gt;Hypothèses!$B$51,0,C41*Hypothèses!$B$50/12)</f>
        <v>1195.12193616452</v>
      </c>
      <c r="E41" s="6" t="n">
        <f aca="false">F41-D41</f>
        <v>6380.35521454755</v>
      </c>
      <c r="F41" s="6" t="n">
        <f aca="false">IF(A41&gt;Hypothèses!$B$51,0,IF(A41&lt;=Hypothèses!$B$52,D41,PMT(Hypothèses!$B$50/12,Hypothèses!$B$51-Hypothèses!$B$52,-Hypothèses!$B$49)))</f>
        <v>7575.47715071207</v>
      </c>
      <c r="G41" s="6" t="n">
        <f aca="false">C41-E41</f>
        <v>327142.04557555</v>
      </c>
      <c r="H41" s="6" t="n">
        <f aca="false">IF(A41&gt;Hypothèses!$B$51,0,Hypothèses!$B$49*Hypothèses!$B$53/12)</f>
        <v>120</v>
      </c>
      <c r="I41" s="6" t="n">
        <f aca="false">IF(A41&gt;Hypothèses!$B$51,0,C41*Hypothèses!$B$54/12)</f>
        <v>222.348267193398</v>
      </c>
    </row>
    <row r="42" customFormat="false" ht="15" hidden="false" customHeight="false" outlineLevel="0" collapsed="false">
      <c r="A42" s="4" t="n">
        <v>38</v>
      </c>
      <c r="B42" s="4" t="n">
        <f aca="false">INT((A42-1)/12)+1</f>
        <v>4</v>
      </c>
      <c r="C42" s="6" t="n">
        <f aca="false">G41</f>
        <v>327142.04557555</v>
      </c>
      <c r="D42" s="6" t="n">
        <f aca="false">IF(A42&gt;Hypothèses!$B$51,0,C42*Hypothèses!$B$50/12)</f>
        <v>1172.25899664572</v>
      </c>
      <c r="E42" s="6" t="n">
        <f aca="false">F42-D42</f>
        <v>6403.21815406635</v>
      </c>
      <c r="F42" s="6" t="n">
        <f aca="false">IF(A42&gt;Hypothèses!$B$51,0,IF(A42&lt;=Hypothèses!$B$52,D42,PMT(Hypothèses!$B$50/12,Hypothèses!$B$51-Hypothèses!$B$52,-Hypothèses!$B$49)))</f>
        <v>7575.47715071207</v>
      </c>
      <c r="G42" s="6" t="n">
        <f aca="false">C42-E42</f>
        <v>320738.827421483</v>
      </c>
      <c r="H42" s="6" t="n">
        <f aca="false">IF(A42&gt;Hypothèses!$B$51,0,Hypothèses!$B$49*Hypothèses!$B$53/12)</f>
        <v>120</v>
      </c>
      <c r="I42" s="6" t="n">
        <f aca="false">IF(A42&gt;Hypothèses!$B$51,0,C42*Hypothèses!$B$54/12)</f>
        <v>218.094697050366</v>
      </c>
    </row>
    <row r="43" customFormat="false" ht="15" hidden="false" customHeight="false" outlineLevel="0" collapsed="false">
      <c r="A43" s="4" t="n">
        <v>39</v>
      </c>
      <c r="B43" s="4" t="n">
        <f aca="false">INT((A43-1)/12)+1</f>
        <v>4</v>
      </c>
      <c r="C43" s="6" t="n">
        <f aca="false">G42</f>
        <v>320738.827421483</v>
      </c>
      <c r="D43" s="6" t="n">
        <f aca="false">IF(A43&gt;Hypothèses!$B$51,0,C43*Hypothèses!$B$50/12)</f>
        <v>1149.31413159365</v>
      </c>
      <c r="E43" s="6" t="n">
        <f aca="false">F43-D43</f>
        <v>6426.16301911842</v>
      </c>
      <c r="F43" s="6" t="n">
        <f aca="false">IF(A43&gt;Hypothèses!$B$51,0,IF(A43&lt;=Hypothèses!$B$52,D43,PMT(Hypothèses!$B$50/12,Hypothèses!$B$51-Hypothèses!$B$52,-Hypothèses!$B$49)))</f>
        <v>7575.47715071207</v>
      </c>
      <c r="G43" s="6" t="n">
        <f aca="false">C43-E43</f>
        <v>314312.664402365</v>
      </c>
      <c r="H43" s="6" t="n">
        <f aca="false">IF(A43&gt;Hypothèses!$B$51,0,Hypothèses!$B$49*Hypothèses!$B$53/12)</f>
        <v>120</v>
      </c>
      <c r="I43" s="6" t="n">
        <f aca="false">IF(A43&gt;Hypothèses!$B$51,0,C43*Hypothèses!$B$54/12)</f>
        <v>213.825884947656</v>
      </c>
    </row>
    <row r="44" customFormat="false" ht="15" hidden="false" customHeight="false" outlineLevel="0" collapsed="false">
      <c r="A44" s="4" t="n">
        <v>40</v>
      </c>
      <c r="B44" s="4" t="n">
        <f aca="false">INT((A44-1)/12)+1</f>
        <v>4</v>
      </c>
      <c r="C44" s="6" t="n">
        <f aca="false">G43</f>
        <v>314312.664402365</v>
      </c>
      <c r="D44" s="6" t="n">
        <f aca="false">IF(A44&gt;Hypothèses!$B$51,0,C44*Hypothèses!$B$50/12)</f>
        <v>1126.28704744181</v>
      </c>
      <c r="E44" s="6" t="n">
        <f aca="false">F44-D44</f>
        <v>6449.19010327026</v>
      </c>
      <c r="F44" s="6" t="n">
        <f aca="false">IF(A44&gt;Hypothèses!$B$51,0,IF(A44&lt;=Hypothèses!$B$52,D44,PMT(Hypothèses!$B$50/12,Hypothèses!$B$51-Hypothèses!$B$52,-Hypothèses!$B$49)))</f>
        <v>7575.47715071207</v>
      </c>
      <c r="G44" s="6" t="n">
        <f aca="false">C44-E44</f>
        <v>307863.474299095</v>
      </c>
      <c r="H44" s="6" t="n">
        <f aca="false">IF(A44&gt;Hypothèses!$B$51,0,Hypothèses!$B$49*Hypothèses!$B$53/12)</f>
        <v>120</v>
      </c>
      <c r="I44" s="6" t="n">
        <f aca="false">IF(A44&gt;Hypothèses!$B$51,0,C44*Hypothèses!$B$54/12)</f>
        <v>209.541776268243</v>
      </c>
    </row>
    <row r="45" customFormat="false" ht="15" hidden="false" customHeight="false" outlineLevel="0" collapsed="false">
      <c r="A45" s="4" t="n">
        <v>41</v>
      </c>
      <c r="B45" s="4" t="n">
        <f aca="false">INT((A45-1)/12)+1</f>
        <v>4</v>
      </c>
      <c r="C45" s="6" t="n">
        <f aca="false">G44</f>
        <v>307863.474299095</v>
      </c>
      <c r="D45" s="6" t="n">
        <f aca="false">IF(A45&gt;Hypothèses!$B$51,0,C45*Hypothèses!$B$50/12)</f>
        <v>1103.17744957176</v>
      </c>
      <c r="E45" s="6" t="n">
        <f aca="false">F45-D45</f>
        <v>6472.29970114031</v>
      </c>
      <c r="F45" s="6" t="n">
        <f aca="false">IF(A45&gt;Hypothèses!$B$51,0,IF(A45&lt;=Hypothèses!$B$52,D45,PMT(Hypothèses!$B$50/12,Hypothèses!$B$51-Hypothèses!$B$52,-Hypothèses!$B$49)))</f>
        <v>7575.47715071207</v>
      </c>
      <c r="G45" s="6" t="n">
        <f aca="false">C45-E45</f>
        <v>301391.174597954</v>
      </c>
      <c r="H45" s="6" t="n">
        <f aca="false">IF(A45&gt;Hypothèses!$B$51,0,Hypothèses!$B$49*Hypothèses!$B$53/12)</f>
        <v>120</v>
      </c>
      <c r="I45" s="6" t="n">
        <f aca="false">IF(A45&gt;Hypothèses!$B$51,0,C45*Hypothèses!$B$54/12)</f>
        <v>205.242316199396</v>
      </c>
    </row>
    <row r="46" customFormat="false" ht="15" hidden="false" customHeight="false" outlineLevel="0" collapsed="false">
      <c r="A46" s="4" t="n">
        <v>42</v>
      </c>
      <c r="B46" s="4" t="n">
        <f aca="false">INT((A46-1)/12)+1</f>
        <v>4</v>
      </c>
      <c r="C46" s="6" t="n">
        <f aca="false">G45</f>
        <v>301391.174597954</v>
      </c>
      <c r="D46" s="6" t="n">
        <f aca="false">IF(A46&gt;Hypothèses!$B$51,0,C46*Hypothèses!$B$50/12)</f>
        <v>1079.98504230934</v>
      </c>
      <c r="E46" s="6" t="n">
        <f aca="false">F46-D46</f>
        <v>6495.49210840273</v>
      </c>
      <c r="F46" s="6" t="n">
        <f aca="false">IF(A46&gt;Hypothèses!$B$51,0,IF(A46&lt;=Hypothèses!$B$52,D46,PMT(Hypothèses!$B$50/12,Hypothèses!$B$51-Hypothèses!$B$52,-Hypothèses!$B$49)))</f>
        <v>7575.47715071207</v>
      </c>
      <c r="G46" s="6" t="n">
        <f aca="false">C46-E46</f>
        <v>294895.682489552</v>
      </c>
      <c r="H46" s="6" t="n">
        <f aca="false">IF(A46&gt;Hypothèses!$B$51,0,Hypothèses!$B$49*Hypothèses!$B$53/12)</f>
        <v>120</v>
      </c>
      <c r="I46" s="6" t="n">
        <f aca="false">IF(A46&gt;Hypothèses!$B$51,0,C46*Hypothèses!$B$54/12)</f>
        <v>200.92744973197</v>
      </c>
    </row>
    <row r="47" customFormat="false" ht="15" hidden="false" customHeight="false" outlineLevel="0" collapsed="false">
      <c r="A47" s="4" t="n">
        <v>43</v>
      </c>
      <c r="B47" s="4" t="n">
        <f aca="false">INT((A47-1)/12)+1</f>
        <v>4</v>
      </c>
      <c r="C47" s="6" t="n">
        <f aca="false">G46</f>
        <v>294895.682489552</v>
      </c>
      <c r="D47" s="6" t="n">
        <f aca="false">IF(A47&gt;Hypothèses!$B$51,0,C47*Hypothèses!$B$50/12)</f>
        <v>1056.70952892089</v>
      </c>
      <c r="E47" s="6" t="n">
        <f aca="false">F47-D47</f>
        <v>6518.76762179118</v>
      </c>
      <c r="F47" s="6" t="n">
        <f aca="false">IF(A47&gt;Hypothèses!$B$51,0,IF(A47&lt;=Hypothèses!$B$52,D47,PMT(Hypothèses!$B$50/12,Hypothèses!$B$51-Hypothèses!$B$52,-Hypothèses!$B$49)))</f>
        <v>7575.47715071207</v>
      </c>
      <c r="G47" s="6" t="n">
        <f aca="false">C47-E47</f>
        <v>288376.91486776</v>
      </c>
      <c r="H47" s="6" t="n">
        <f aca="false">IF(A47&gt;Hypothèses!$B$51,0,Hypothèses!$B$49*Hypothèses!$B$53/12)</f>
        <v>120</v>
      </c>
      <c r="I47" s="6" t="n">
        <f aca="false">IF(A47&gt;Hypothèses!$B$51,0,C47*Hypothèses!$B$54/12)</f>
        <v>196.597121659701</v>
      </c>
    </row>
    <row r="48" customFormat="false" ht="15" hidden="false" customHeight="false" outlineLevel="0" collapsed="false">
      <c r="A48" s="4" t="n">
        <v>44</v>
      </c>
      <c r="B48" s="4" t="n">
        <f aca="false">INT((A48-1)/12)+1</f>
        <v>4</v>
      </c>
      <c r="C48" s="6" t="n">
        <f aca="false">G47</f>
        <v>288376.91486776</v>
      </c>
      <c r="D48" s="6" t="n">
        <f aca="false">IF(A48&gt;Hypothèses!$B$51,0,C48*Hypothèses!$B$50/12)</f>
        <v>1033.35061160947</v>
      </c>
      <c r="E48" s="6" t="n">
        <f aca="false">F48-D48</f>
        <v>6542.12653910259</v>
      </c>
      <c r="F48" s="6" t="n">
        <f aca="false">IF(A48&gt;Hypothèses!$B$51,0,IF(A48&lt;=Hypothèses!$B$52,D48,PMT(Hypothèses!$B$50/12,Hypothèses!$B$51-Hypothèses!$B$52,-Hypothèses!$B$49)))</f>
        <v>7575.47715071207</v>
      </c>
      <c r="G48" s="6" t="n">
        <f aca="false">C48-E48</f>
        <v>281834.788328658</v>
      </c>
      <c r="H48" s="6" t="n">
        <f aca="false">IF(A48&gt;Hypothèses!$B$51,0,Hypothèses!$B$49*Hypothèses!$B$53/12)</f>
        <v>120</v>
      </c>
      <c r="I48" s="6" t="n">
        <f aca="false">IF(A48&gt;Hypothèses!$B$51,0,C48*Hypothèses!$B$54/12)</f>
        <v>192.251276578507</v>
      </c>
    </row>
    <row r="49" customFormat="false" ht="15" hidden="false" customHeight="false" outlineLevel="0" collapsed="false">
      <c r="A49" s="4" t="n">
        <v>45</v>
      </c>
      <c r="B49" s="4" t="n">
        <f aca="false">INT((A49-1)/12)+1</f>
        <v>4</v>
      </c>
      <c r="C49" s="6" t="n">
        <f aca="false">G48</f>
        <v>281834.788328658</v>
      </c>
      <c r="D49" s="6" t="n">
        <f aca="false">IF(A49&gt;Hypothèses!$B$51,0,C49*Hypothèses!$B$50/12)</f>
        <v>1009.90799151102</v>
      </c>
      <c r="E49" s="6" t="n">
        <f aca="false">F49-D49</f>
        <v>6565.56915920105</v>
      </c>
      <c r="F49" s="6" t="n">
        <f aca="false">IF(A49&gt;Hypothèses!$B$51,0,IF(A49&lt;=Hypothèses!$B$52,D49,PMT(Hypothèses!$B$50/12,Hypothèses!$B$51-Hypothèses!$B$52,-Hypothèses!$B$49)))</f>
        <v>7575.47715071207</v>
      </c>
      <c r="G49" s="6" t="n">
        <f aca="false">C49-E49</f>
        <v>275269.219169457</v>
      </c>
      <c r="H49" s="6" t="n">
        <f aca="false">IF(A49&gt;Hypothèses!$B$51,0,Hypothèses!$B$49*Hypothèses!$B$53/12)</f>
        <v>120</v>
      </c>
      <c r="I49" s="6" t="n">
        <f aca="false">IF(A49&gt;Hypothèses!$B$51,0,C49*Hypothèses!$B$54/12)</f>
        <v>187.889858885772</v>
      </c>
    </row>
    <row r="50" customFormat="false" ht="15" hidden="false" customHeight="false" outlineLevel="0" collapsed="false">
      <c r="A50" s="4" t="n">
        <v>46</v>
      </c>
      <c r="B50" s="4" t="n">
        <f aca="false">INT((A50-1)/12)+1</f>
        <v>4</v>
      </c>
      <c r="C50" s="6" t="n">
        <f aca="false">G49</f>
        <v>275269.219169457</v>
      </c>
      <c r="D50" s="6" t="n">
        <f aca="false">IF(A50&gt;Hypothèses!$B$51,0,C50*Hypothèses!$B$50/12)</f>
        <v>986.381368690553</v>
      </c>
      <c r="E50" s="6" t="n">
        <f aca="false">F50-D50</f>
        <v>6589.09578202152</v>
      </c>
      <c r="F50" s="6" t="n">
        <f aca="false">IF(A50&gt;Hypothèses!$B$51,0,IF(A50&lt;=Hypothèses!$B$52,D50,PMT(Hypothèses!$B$50/12,Hypothèses!$B$51-Hypothèses!$B$52,-Hypothèses!$B$49)))</f>
        <v>7575.47715071207</v>
      </c>
      <c r="G50" s="6" t="n">
        <f aca="false">C50-E50</f>
        <v>268680.123387435</v>
      </c>
      <c r="H50" s="6" t="n">
        <f aca="false">IF(A50&gt;Hypothèses!$B$51,0,Hypothèses!$B$49*Hypothèses!$B$53/12)</f>
        <v>120</v>
      </c>
      <c r="I50" s="6" t="n">
        <f aca="false">IF(A50&gt;Hypothèses!$B$51,0,C50*Hypothèses!$B$54/12)</f>
        <v>183.512812779638</v>
      </c>
    </row>
    <row r="51" customFormat="false" ht="15" hidden="false" customHeight="false" outlineLevel="0" collapsed="false">
      <c r="A51" s="4" t="n">
        <v>47</v>
      </c>
      <c r="B51" s="4" t="n">
        <f aca="false">INT((A51-1)/12)+1</f>
        <v>4</v>
      </c>
      <c r="C51" s="6" t="n">
        <f aca="false">G50</f>
        <v>268680.123387435</v>
      </c>
      <c r="D51" s="6" t="n">
        <f aca="false">IF(A51&gt;Hypothèses!$B$51,0,C51*Hypothèses!$B$50/12)</f>
        <v>962.77044213831</v>
      </c>
      <c r="E51" s="6" t="n">
        <f aca="false">F51-D51</f>
        <v>6612.70670857376</v>
      </c>
      <c r="F51" s="6" t="n">
        <f aca="false">IF(A51&gt;Hypothèses!$B$51,0,IF(A51&lt;=Hypothèses!$B$52,D51,PMT(Hypothèses!$B$50/12,Hypothèses!$B$51-Hypothèses!$B$52,-Hypothèses!$B$49)))</f>
        <v>7575.47715071207</v>
      </c>
      <c r="G51" s="6" t="n">
        <f aca="false">C51-E51</f>
        <v>262067.416678862</v>
      </c>
      <c r="H51" s="6" t="n">
        <f aca="false">IF(A51&gt;Hypothèses!$B$51,0,Hypothèses!$B$49*Hypothèses!$B$53/12)</f>
        <v>120</v>
      </c>
      <c r="I51" s="6" t="n">
        <f aca="false">IF(A51&gt;Hypothèses!$B$51,0,C51*Hypothèses!$B$54/12)</f>
        <v>179.12008225829</v>
      </c>
    </row>
    <row r="52" customFormat="false" ht="15" hidden="false" customHeight="false" outlineLevel="0" collapsed="false">
      <c r="A52" s="4" t="n">
        <v>48</v>
      </c>
      <c r="B52" s="4" t="n">
        <f aca="false">INT((A52-1)/12)+1</f>
        <v>4</v>
      </c>
      <c r="C52" s="6" t="n">
        <f aca="false">G51</f>
        <v>262067.416678862</v>
      </c>
      <c r="D52" s="6" t="n">
        <f aca="false">IF(A52&gt;Hypothèses!$B$51,0,C52*Hypothèses!$B$50/12)</f>
        <v>939.07490976592</v>
      </c>
      <c r="E52" s="6" t="n">
        <f aca="false">F52-D52</f>
        <v>6636.40224094615</v>
      </c>
      <c r="F52" s="6" t="n">
        <f aca="false">IF(A52&gt;Hypothèses!$B$51,0,IF(A52&lt;=Hypothèses!$B$52,D52,PMT(Hypothèses!$B$50/12,Hypothèses!$B$51-Hypothèses!$B$52,-Hypothèses!$B$49)))</f>
        <v>7575.47715071207</v>
      </c>
      <c r="G52" s="6" t="n">
        <f aca="false">C52-E52</f>
        <v>255431.014437915</v>
      </c>
      <c r="H52" s="6" t="n">
        <f aca="false">IF(A52&gt;Hypothèses!$B$51,0,Hypothèses!$B$49*Hypothèses!$B$53/12)</f>
        <v>120</v>
      </c>
      <c r="I52" s="6" t="n">
        <f aca="false">IF(A52&gt;Hypothèses!$B$51,0,C52*Hypothèses!$B$54/12)</f>
        <v>174.711611119241</v>
      </c>
    </row>
    <row r="53" customFormat="false" ht="15" hidden="false" customHeight="false" outlineLevel="0" collapsed="false">
      <c r="A53" s="4" t="n">
        <v>49</v>
      </c>
      <c r="B53" s="4" t="n">
        <f aca="false">INT((A53-1)/12)+1</f>
        <v>5</v>
      </c>
      <c r="C53" s="6" t="n">
        <f aca="false">G52</f>
        <v>255431.014437915</v>
      </c>
      <c r="D53" s="6" t="n">
        <f aca="false">IF(A53&gt;Hypothèses!$B$51,0,C53*Hypothèses!$B$50/12)</f>
        <v>915.29446840253</v>
      </c>
      <c r="E53" s="6" t="n">
        <f aca="false">F53-D53</f>
        <v>6660.18268230954</v>
      </c>
      <c r="F53" s="6" t="n">
        <f aca="false">IF(A53&gt;Hypothèses!$B$51,0,IF(A53&lt;=Hypothèses!$B$52,D53,PMT(Hypothèses!$B$50/12,Hypothèses!$B$51-Hypothèses!$B$52,-Hypothèses!$B$49)))</f>
        <v>7575.47715071207</v>
      </c>
      <c r="G53" s="6" t="n">
        <f aca="false">C53-E53</f>
        <v>248770.831755606</v>
      </c>
      <c r="H53" s="6" t="n">
        <f aca="false">IF(A53&gt;Hypothèses!$B$51,0,Hypothèses!$B$49*Hypothèses!$B$53/12)</f>
        <v>120</v>
      </c>
      <c r="I53" s="6" t="n">
        <f aca="false">IF(A53&gt;Hypothèses!$B$51,0,C53*Hypothèses!$B$54/12)</f>
        <v>170.28734295861</v>
      </c>
    </row>
    <row r="54" customFormat="false" ht="15" hidden="false" customHeight="false" outlineLevel="0" collapsed="false">
      <c r="A54" s="4" t="n">
        <v>50</v>
      </c>
      <c r="B54" s="4" t="n">
        <f aca="false">INT((A54-1)/12)+1</f>
        <v>5</v>
      </c>
      <c r="C54" s="6" t="n">
        <f aca="false">G53</f>
        <v>248770.831755606</v>
      </c>
      <c r="D54" s="6" t="n">
        <f aca="false">IF(A54&gt;Hypothèses!$B$51,0,C54*Hypothèses!$B$50/12)</f>
        <v>891.428813790921</v>
      </c>
      <c r="E54" s="6" t="n">
        <f aca="false">F54-D54</f>
        <v>6684.04833692115</v>
      </c>
      <c r="F54" s="6" t="n">
        <f aca="false">IF(A54&gt;Hypothèses!$B$51,0,IF(A54&lt;=Hypothèses!$B$52,D54,PMT(Hypothèses!$B$50/12,Hypothèses!$B$51-Hypothèses!$B$52,-Hypothèses!$B$49)))</f>
        <v>7575.47715071207</v>
      </c>
      <c r="G54" s="6" t="n">
        <f aca="false">C54-E54</f>
        <v>242086.783418685</v>
      </c>
      <c r="H54" s="6" t="n">
        <f aca="false">IF(A54&gt;Hypothèses!$B$51,0,Hypothèses!$B$49*Hypothèses!$B$53/12)</f>
        <v>120</v>
      </c>
      <c r="I54" s="6" t="n">
        <f aca="false">IF(A54&gt;Hypothèses!$B$51,0,C54*Hypothèses!$B$54/12)</f>
        <v>165.847221170404</v>
      </c>
    </row>
    <row r="55" customFormat="false" ht="15" hidden="false" customHeight="false" outlineLevel="0" collapsed="false">
      <c r="A55" s="4" t="n">
        <v>51</v>
      </c>
      <c r="B55" s="4" t="n">
        <f aca="false">INT((A55-1)/12)+1</f>
        <v>5</v>
      </c>
      <c r="C55" s="6" t="n">
        <f aca="false">G54</f>
        <v>242086.783418685</v>
      </c>
      <c r="D55" s="6" t="n">
        <f aca="false">IF(A55&gt;Hypothèses!$B$51,0,C55*Hypothèses!$B$50/12)</f>
        <v>867.47764058362</v>
      </c>
      <c r="E55" s="6" t="n">
        <f aca="false">F55-D55</f>
        <v>6707.99951012845</v>
      </c>
      <c r="F55" s="6" t="n">
        <f aca="false">IF(A55&gt;Hypothèses!$B$51,0,IF(A55&lt;=Hypothèses!$B$52,D55,PMT(Hypothèses!$B$50/12,Hypothèses!$B$51-Hypothèses!$B$52,-Hypothèses!$B$49)))</f>
        <v>7575.47715071207</v>
      </c>
      <c r="G55" s="6" t="n">
        <f aca="false">C55-E55</f>
        <v>235378.783908556</v>
      </c>
      <c r="H55" s="6" t="n">
        <f aca="false">IF(A55&gt;Hypothèses!$B$51,0,Hypothèses!$B$49*Hypothèses!$B$53/12)</f>
        <v>120</v>
      </c>
      <c r="I55" s="6" t="n">
        <f aca="false">IF(A55&gt;Hypothèses!$B$51,0,C55*Hypothèses!$B$54/12)</f>
        <v>161.39118894579</v>
      </c>
    </row>
    <row r="56" customFormat="false" ht="15" hidden="false" customHeight="false" outlineLevel="0" collapsed="false">
      <c r="A56" s="4" t="n">
        <v>52</v>
      </c>
      <c r="B56" s="4" t="n">
        <f aca="false">INT((A56-1)/12)+1</f>
        <v>5</v>
      </c>
      <c r="C56" s="6" t="n">
        <f aca="false">G55</f>
        <v>235378.783908556</v>
      </c>
      <c r="D56" s="6" t="n">
        <f aca="false">IF(A56&gt;Hypothèses!$B$51,0,C56*Hypothèses!$B$50/12)</f>
        <v>843.440642338993</v>
      </c>
      <c r="E56" s="6" t="n">
        <f aca="false">F56-D56</f>
        <v>6732.03650837308</v>
      </c>
      <c r="F56" s="6" t="n">
        <f aca="false">IF(A56&gt;Hypothèses!$B$51,0,IF(A56&lt;=Hypothèses!$B$52,D56,PMT(Hypothèses!$B$50/12,Hypothèses!$B$51-Hypothèses!$B$52,-Hypothèses!$B$49)))</f>
        <v>7575.47715071207</v>
      </c>
      <c r="G56" s="6" t="n">
        <f aca="false">C56-E56</f>
        <v>228646.747400183</v>
      </c>
      <c r="H56" s="6" t="n">
        <f aca="false">IF(A56&gt;Hypothèses!$B$51,0,Hypothèses!$B$49*Hypothèses!$B$53/12)</f>
        <v>120</v>
      </c>
      <c r="I56" s="6" t="n">
        <f aca="false">IF(A56&gt;Hypothèses!$B$51,0,C56*Hypothèses!$B$54/12)</f>
        <v>156.919189272371</v>
      </c>
    </row>
    <row r="57" customFormat="false" ht="15" hidden="false" customHeight="false" outlineLevel="0" collapsed="false">
      <c r="A57" s="4" t="n">
        <v>53</v>
      </c>
      <c r="B57" s="4" t="n">
        <f aca="false">INT((A57-1)/12)+1</f>
        <v>5</v>
      </c>
      <c r="C57" s="6" t="n">
        <f aca="false">G56</f>
        <v>228646.747400183</v>
      </c>
      <c r="D57" s="6" t="n">
        <f aca="false">IF(A57&gt;Hypothèses!$B$51,0,C57*Hypothèses!$B$50/12)</f>
        <v>819.317511517323</v>
      </c>
      <c r="E57" s="6" t="n">
        <f aca="false">F57-D57</f>
        <v>6756.15963919475</v>
      </c>
      <c r="F57" s="6" t="n">
        <f aca="false">IF(A57&gt;Hypothèses!$B$51,0,IF(A57&lt;=Hypothèses!$B$52,D57,PMT(Hypothèses!$B$50/12,Hypothèses!$B$51-Hypothèses!$B$52,-Hypothèses!$B$49)))</f>
        <v>7575.47715071207</v>
      </c>
      <c r="G57" s="6" t="n">
        <f aca="false">C57-E57</f>
        <v>221890.587760988</v>
      </c>
      <c r="H57" s="6" t="n">
        <f aca="false">IF(A57&gt;Hypothèses!$B$51,0,Hypothèses!$B$49*Hypothèses!$B$53/12)</f>
        <v>120</v>
      </c>
      <c r="I57" s="6" t="n">
        <f aca="false">IF(A57&gt;Hypothèses!$B$51,0,C57*Hypothèses!$B$54/12)</f>
        <v>152.431164933455</v>
      </c>
    </row>
    <row r="58" customFormat="false" ht="15" hidden="false" customHeight="false" outlineLevel="0" collapsed="false">
      <c r="A58" s="4" t="n">
        <v>54</v>
      </c>
      <c r="B58" s="4" t="n">
        <f aca="false">INT((A58-1)/12)+1</f>
        <v>5</v>
      </c>
      <c r="C58" s="6" t="n">
        <f aca="false">G57</f>
        <v>221890.587760988</v>
      </c>
      <c r="D58" s="6" t="n">
        <f aca="false">IF(A58&gt;Hypothèses!$B$51,0,C58*Hypothèses!$B$50/12)</f>
        <v>795.107939476875</v>
      </c>
      <c r="E58" s="6" t="n">
        <f aca="false">F58-D58</f>
        <v>6780.3692112352</v>
      </c>
      <c r="F58" s="6" t="n">
        <f aca="false">IF(A58&gt;Hypothèses!$B$51,0,IF(A58&lt;=Hypothèses!$B$52,D58,PMT(Hypothèses!$B$50/12,Hypothèses!$B$51-Hypothèses!$B$52,-Hypothèses!$B$49)))</f>
        <v>7575.47715071207</v>
      </c>
      <c r="G58" s="6" t="n">
        <f aca="false">C58-E58</f>
        <v>215110.218549753</v>
      </c>
      <c r="H58" s="6" t="n">
        <f aca="false">IF(A58&gt;Hypothèses!$B$51,0,Hypothèses!$B$49*Hypothèses!$B$53/12)</f>
        <v>120</v>
      </c>
      <c r="I58" s="6" t="n">
        <f aca="false">IF(A58&gt;Hypothèses!$B$51,0,C58*Hypothèses!$B$54/12)</f>
        <v>147.927058507326</v>
      </c>
    </row>
    <row r="59" customFormat="false" ht="15" hidden="false" customHeight="false" outlineLevel="0" collapsed="false">
      <c r="A59" s="4" t="n">
        <v>55</v>
      </c>
      <c r="B59" s="4" t="n">
        <f aca="false">INT((A59-1)/12)+1</f>
        <v>5</v>
      </c>
      <c r="C59" s="6" t="n">
        <f aca="false">G58</f>
        <v>215110.218549753</v>
      </c>
      <c r="D59" s="6" t="n">
        <f aca="false">IF(A59&gt;Hypothèses!$B$51,0,C59*Hypothèses!$B$50/12)</f>
        <v>770.811616469949</v>
      </c>
      <c r="E59" s="6" t="n">
        <f aca="false">F59-D59</f>
        <v>6804.66553424212</v>
      </c>
      <c r="F59" s="6" t="n">
        <f aca="false">IF(A59&gt;Hypothèses!$B$51,0,IF(A59&lt;=Hypothèses!$B$52,D59,PMT(Hypothèses!$B$50/12,Hypothèses!$B$51-Hypothèses!$B$52,-Hypothèses!$B$49)))</f>
        <v>7575.47715071207</v>
      </c>
      <c r="G59" s="6" t="n">
        <f aca="false">C59-E59</f>
        <v>208305.553015511</v>
      </c>
      <c r="H59" s="6" t="n">
        <f aca="false">IF(A59&gt;Hypothèses!$B$51,0,Hypothèses!$B$49*Hypothèses!$B$53/12)</f>
        <v>120</v>
      </c>
      <c r="I59" s="6" t="n">
        <f aca="false">IF(A59&gt;Hypothèses!$B$51,0,C59*Hypothèses!$B$54/12)</f>
        <v>143.406812366502</v>
      </c>
    </row>
    <row r="60" customFormat="false" ht="15" hidden="false" customHeight="false" outlineLevel="0" collapsed="false">
      <c r="A60" s="4" t="n">
        <v>56</v>
      </c>
      <c r="B60" s="4" t="n">
        <f aca="false">INT((A60-1)/12)+1</f>
        <v>5</v>
      </c>
      <c r="C60" s="6" t="n">
        <f aca="false">G59</f>
        <v>208305.553015511</v>
      </c>
      <c r="D60" s="6" t="n">
        <f aca="false">IF(A60&gt;Hypothèses!$B$51,0,C60*Hypothèses!$B$50/12)</f>
        <v>746.428231638915</v>
      </c>
      <c r="E60" s="6" t="n">
        <f aca="false">F60-D60</f>
        <v>6829.04891907316</v>
      </c>
      <c r="F60" s="6" t="n">
        <f aca="false">IF(A60&gt;Hypothèses!$B$51,0,IF(A60&lt;=Hypothèses!$B$52,D60,PMT(Hypothèses!$B$50/12,Hypothèses!$B$51-Hypothèses!$B$52,-Hypothèses!$B$49)))</f>
        <v>7575.47715071207</v>
      </c>
      <c r="G60" s="6" t="n">
        <f aca="false">C60-E60</f>
        <v>201476.504096438</v>
      </c>
      <c r="H60" s="6" t="n">
        <f aca="false">IF(A60&gt;Hypothèses!$B$51,0,Hypothèses!$B$49*Hypothèses!$B$53/12)</f>
        <v>120</v>
      </c>
      <c r="I60" s="6" t="n">
        <f aca="false">IF(A60&gt;Hypothèses!$B$51,0,C60*Hypothèses!$B$54/12)</f>
        <v>138.870368677007</v>
      </c>
    </row>
    <row r="61" customFormat="false" ht="15" hidden="false" customHeight="false" outlineLevel="0" collapsed="false">
      <c r="A61" s="4" t="n">
        <v>57</v>
      </c>
      <c r="B61" s="4" t="n">
        <f aca="false">INT((A61-1)/12)+1</f>
        <v>5</v>
      </c>
      <c r="C61" s="6" t="n">
        <f aca="false">G60</f>
        <v>201476.504096438</v>
      </c>
      <c r="D61" s="6" t="n">
        <f aca="false">IF(A61&gt;Hypothèses!$B$51,0,C61*Hypothèses!$B$50/12)</f>
        <v>721.957473012236</v>
      </c>
      <c r="E61" s="6" t="n">
        <f aca="false">F61-D61</f>
        <v>6853.51967769983</v>
      </c>
      <c r="F61" s="6" t="n">
        <f aca="false">IF(A61&gt;Hypothèses!$B$51,0,IF(A61&lt;=Hypothèses!$B$52,D61,PMT(Hypothèses!$B$50/12,Hypothèses!$B$51-Hypothèses!$B$52,-Hypothèses!$B$49)))</f>
        <v>7575.47715071207</v>
      </c>
      <c r="G61" s="6" t="n">
        <f aca="false">C61-E61</f>
        <v>194622.984418738</v>
      </c>
      <c r="H61" s="6" t="n">
        <f aca="false">IF(A61&gt;Hypothèses!$B$51,0,Hypothèses!$B$49*Hypothèses!$B$53/12)</f>
        <v>120</v>
      </c>
      <c r="I61" s="6" t="n">
        <f aca="false">IF(A61&gt;Hypothèses!$B$51,0,C61*Hypothèses!$B$54/12)</f>
        <v>134.317669397625</v>
      </c>
    </row>
    <row r="62" customFormat="false" ht="15" hidden="false" customHeight="false" outlineLevel="0" collapsed="false">
      <c r="A62" s="4" t="n">
        <v>58</v>
      </c>
      <c r="B62" s="4" t="n">
        <f aca="false">INT((A62-1)/12)+1</f>
        <v>5</v>
      </c>
      <c r="C62" s="6" t="n">
        <f aca="false">G61</f>
        <v>194622.984418738</v>
      </c>
      <c r="D62" s="6" t="n">
        <f aca="false">IF(A62&gt;Hypothèses!$B$51,0,C62*Hypothèses!$B$50/12)</f>
        <v>697.399027500478</v>
      </c>
      <c r="E62" s="6" t="n">
        <f aca="false">F62-D62</f>
        <v>6878.07812321159</v>
      </c>
      <c r="F62" s="6" t="n">
        <f aca="false">IF(A62&gt;Hypothèses!$B$51,0,IF(A62&lt;=Hypothèses!$B$52,D62,PMT(Hypothèses!$B$50/12,Hypothèses!$B$51-Hypothèses!$B$52,-Hypothèses!$B$49)))</f>
        <v>7575.47715071207</v>
      </c>
      <c r="G62" s="6" t="n">
        <f aca="false">C62-E62</f>
        <v>187744.906295526</v>
      </c>
      <c r="H62" s="6" t="n">
        <f aca="false">IF(A62&gt;Hypothèses!$B$51,0,Hypothèses!$B$49*Hypothèses!$B$53/12)</f>
        <v>120</v>
      </c>
      <c r="I62" s="6" t="n">
        <f aca="false">IF(A62&gt;Hypothèses!$B$51,0,C62*Hypothèses!$B$54/12)</f>
        <v>129.748656279159</v>
      </c>
    </row>
    <row r="63" customFormat="false" ht="15" hidden="false" customHeight="false" outlineLevel="0" collapsed="false">
      <c r="A63" s="4" t="n">
        <v>59</v>
      </c>
      <c r="B63" s="4" t="n">
        <f aca="false">INT((A63-1)/12)+1</f>
        <v>5</v>
      </c>
      <c r="C63" s="6" t="n">
        <f aca="false">G62</f>
        <v>187744.906295526</v>
      </c>
      <c r="D63" s="6" t="n">
        <f aca="false">IF(A63&gt;Hypothèses!$B$51,0,C63*Hypothèses!$B$50/12)</f>
        <v>672.752580892303</v>
      </c>
      <c r="E63" s="6" t="n">
        <f aca="false">F63-D63</f>
        <v>6902.72456981977</v>
      </c>
      <c r="F63" s="6" t="n">
        <f aca="false">IF(A63&gt;Hypothèses!$B$51,0,IF(A63&lt;=Hypothèses!$B$52,D63,PMT(Hypothèses!$B$50/12,Hypothèses!$B$51-Hypothèses!$B$52,-Hypothèses!$B$49)))</f>
        <v>7575.47715071207</v>
      </c>
      <c r="G63" s="6" t="n">
        <f aca="false">C63-E63</f>
        <v>180842.181725707</v>
      </c>
      <c r="H63" s="6" t="n">
        <f aca="false">IF(A63&gt;Hypothèses!$B$51,0,Hypothèses!$B$49*Hypothèses!$B$53/12)</f>
        <v>120</v>
      </c>
      <c r="I63" s="6" t="n">
        <f aca="false">IF(A63&gt;Hypothèses!$B$51,0,C63*Hypothèses!$B$54/12)</f>
        <v>125.163270863684</v>
      </c>
    </row>
    <row r="64" customFormat="false" ht="15" hidden="false" customHeight="false" outlineLevel="0" collapsed="false">
      <c r="A64" s="4" t="n">
        <v>60</v>
      </c>
      <c r="B64" s="4" t="n">
        <f aca="false">INT((A64-1)/12)+1</f>
        <v>5</v>
      </c>
      <c r="C64" s="6" t="n">
        <f aca="false">G63</f>
        <v>180842.181725707</v>
      </c>
      <c r="D64" s="6" t="n">
        <f aca="false">IF(A64&gt;Hypothèses!$B$51,0,C64*Hypothèses!$B$50/12)</f>
        <v>648.017817850449</v>
      </c>
      <c r="E64" s="6" t="n">
        <f aca="false">F64-D64</f>
        <v>6927.45933286162</v>
      </c>
      <c r="F64" s="6" t="n">
        <f aca="false">IF(A64&gt;Hypothèses!$B$51,0,IF(A64&lt;=Hypothèses!$B$52,D64,PMT(Hypothèses!$B$50/12,Hypothèses!$B$51-Hypothèses!$B$52,-Hypothèses!$B$49)))</f>
        <v>7575.47715071207</v>
      </c>
      <c r="G64" s="6" t="n">
        <f aca="false">C64-E64</f>
        <v>173914.722392845</v>
      </c>
      <c r="H64" s="6" t="n">
        <f aca="false">IF(A64&gt;Hypothèses!$B$51,0,Hypothèses!$B$49*Hypothèses!$B$53/12)</f>
        <v>120</v>
      </c>
      <c r="I64" s="6" t="n">
        <f aca="false">IF(A64&gt;Hypothèses!$B$51,0,C64*Hypothèses!$B$54/12)</f>
        <v>120.561454483804</v>
      </c>
    </row>
    <row r="65" customFormat="false" ht="15" hidden="false" customHeight="false" outlineLevel="0" collapsed="false">
      <c r="A65" s="4" t="n">
        <v>61</v>
      </c>
      <c r="B65" s="4" t="n">
        <f aca="false">INT((A65-1)/12)+1</f>
        <v>6</v>
      </c>
      <c r="C65" s="6" t="n">
        <f aca="false">G64</f>
        <v>173914.722392845</v>
      </c>
      <c r="D65" s="6" t="n">
        <f aca="false">IF(A65&gt;Hypothèses!$B$51,0,C65*Hypothèses!$B$50/12)</f>
        <v>623.194421907695</v>
      </c>
      <c r="E65" s="6" t="n">
        <f aca="false">F65-D65</f>
        <v>6952.28272880437</v>
      </c>
      <c r="F65" s="6" t="n">
        <f aca="false">IF(A65&gt;Hypothèses!$B$51,0,IF(A65&lt;=Hypothèses!$B$52,D65,PMT(Hypothèses!$B$50/12,Hypothèses!$B$51-Hypothèses!$B$52,-Hypothèses!$B$49)))</f>
        <v>7575.47715071207</v>
      </c>
      <c r="G65" s="6" t="n">
        <f aca="false">C65-E65</f>
        <v>166962.439664041</v>
      </c>
      <c r="H65" s="6" t="n">
        <f aca="false">IF(A65&gt;Hypothèses!$B$51,0,Hypothèses!$B$49*Hypothèses!$B$53/12)</f>
        <v>120</v>
      </c>
      <c r="I65" s="6" t="n">
        <f aca="false">IF(A65&gt;Hypothèses!$B$51,0,C65*Hypothèses!$B$54/12)</f>
        <v>115.943148261897</v>
      </c>
    </row>
    <row r="66" customFormat="false" ht="15" hidden="false" customHeight="false" outlineLevel="0" collapsed="false">
      <c r="A66" s="4" t="n">
        <v>62</v>
      </c>
      <c r="B66" s="4" t="n">
        <f aca="false">INT((A66-1)/12)+1</f>
        <v>6</v>
      </c>
      <c r="C66" s="6" t="n">
        <f aca="false">G65</f>
        <v>166962.439664041</v>
      </c>
      <c r="D66" s="6" t="n">
        <f aca="false">IF(A66&gt;Hypothèses!$B$51,0,C66*Hypothèses!$B$50/12)</f>
        <v>598.282075462813</v>
      </c>
      <c r="E66" s="6" t="n">
        <f aca="false">F66-D66</f>
        <v>6977.19507524926</v>
      </c>
      <c r="F66" s="6" t="n">
        <f aca="false">IF(A66&gt;Hypothèses!$B$51,0,IF(A66&lt;=Hypothèses!$B$52,D66,PMT(Hypothèses!$B$50/12,Hypothèses!$B$51-Hypothèses!$B$52,-Hypothèses!$B$49)))</f>
        <v>7575.47715071207</v>
      </c>
      <c r="G66" s="6" t="n">
        <f aca="false">C66-E66</f>
        <v>159985.244588791</v>
      </c>
      <c r="H66" s="6" t="n">
        <f aca="false">IF(A66&gt;Hypothèses!$B$51,0,Hypothèses!$B$49*Hypothèses!$B$53/12)</f>
        <v>120</v>
      </c>
      <c r="I66" s="6" t="n">
        <f aca="false">IF(A66&gt;Hypothèses!$B$51,0,C66*Hypothèses!$B$54/12)</f>
        <v>111.30829310936</v>
      </c>
    </row>
    <row r="67" customFormat="false" ht="15" hidden="false" customHeight="false" outlineLevel="0" collapsed="false">
      <c r="A67" s="4" t="n">
        <v>63</v>
      </c>
      <c r="B67" s="4" t="n">
        <f aca="false">INT((A67-1)/12)+1</f>
        <v>6</v>
      </c>
      <c r="C67" s="6" t="n">
        <f aca="false">G66</f>
        <v>159985.244588791</v>
      </c>
      <c r="D67" s="6" t="n">
        <f aca="false">IF(A67&gt;Hypothèses!$B$51,0,C67*Hypothèses!$B$50/12)</f>
        <v>573.280459776503</v>
      </c>
      <c r="E67" s="6" t="n">
        <f aca="false">F67-D67</f>
        <v>7002.19669093557</v>
      </c>
      <c r="F67" s="6" t="n">
        <f aca="false">IF(A67&gt;Hypothèses!$B$51,0,IF(A67&lt;=Hypothèses!$B$52,D67,PMT(Hypothèses!$B$50/12,Hypothèses!$B$51-Hypothèses!$B$52,-Hypothèses!$B$49)))</f>
        <v>7575.47715071207</v>
      </c>
      <c r="G67" s="6" t="n">
        <f aca="false">C67-E67</f>
        <v>152983.047897856</v>
      </c>
      <c r="H67" s="6" t="n">
        <f aca="false">IF(A67&gt;Hypothèses!$B$51,0,Hypothèses!$B$49*Hypothèses!$B$53/12)</f>
        <v>120</v>
      </c>
      <c r="I67" s="6" t="n">
        <f aca="false">IF(A67&gt;Hypothèses!$B$51,0,C67*Hypothèses!$B$54/12)</f>
        <v>106.656829725861</v>
      </c>
    </row>
    <row r="68" customFormat="false" ht="15" hidden="false" customHeight="false" outlineLevel="0" collapsed="false">
      <c r="A68" s="4" t="n">
        <v>64</v>
      </c>
      <c r="B68" s="4" t="n">
        <f aca="false">INT((A68-1)/12)+1</f>
        <v>6</v>
      </c>
      <c r="C68" s="6" t="n">
        <f aca="false">G67</f>
        <v>152983.047897856</v>
      </c>
      <c r="D68" s="6" t="n">
        <f aca="false">IF(A68&gt;Hypothèses!$B$51,0,C68*Hypothèses!$B$50/12)</f>
        <v>548.189254967317</v>
      </c>
      <c r="E68" s="6" t="n">
        <f aca="false">F68-D68</f>
        <v>7027.28789574475</v>
      </c>
      <c r="F68" s="6" t="n">
        <f aca="false">IF(A68&gt;Hypothèses!$B$51,0,IF(A68&lt;=Hypothèses!$B$52,D68,PMT(Hypothèses!$B$50/12,Hypothèses!$B$51-Hypothèses!$B$52,-Hypothèses!$B$49)))</f>
        <v>7575.47715071207</v>
      </c>
      <c r="G68" s="6" t="n">
        <f aca="false">C68-E68</f>
        <v>145955.760002111</v>
      </c>
      <c r="H68" s="6" t="n">
        <f aca="false">IF(A68&gt;Hypothèses!$B$51,0,Hypothèses!$B$49*Hypothèses!$B$53/12)</f>
        <v>120</v>
      </c>
      <c r="I68" s="6" t="n">
        <f aca="false">IF(A68&gt;Hypothèses!$B$51,0,C68*Hypothèses!$B$54/12)</f>
        <v>101.988698598571</v>
      </c>
    </row>
    <row r="69" customFormat="false" ht="15" hidden="false" customHeight="false" outlineLevel="0" collapsed="false">
      <c r="A69" s="4" t="n">
        <v>65</v>
      </c>
      <c r="B69" s="4" t="n">
        <f aca="false">INT((A69-1)/12)+1</f>
        <v>6</v>
      </c>
      <c r="C69" s="6" t="n">
        <f aca="false">G68</f>
        <v>145955.760002111</v>
      </c>
      <c r="D69" s="6" t="n">
        <f aca="false">IF(A69&gt;Hypothèses!$B$51,0,C69*Hypothèses!$B$50/12)</f>
        <v>523.008140007565</v>
      </c>
      <c r="E69" s="6" t="n">
        <f aca="false">F69-D69</f>
        <v>7052.4690107045</v>
      </c>
      <c r="F69" s="6" t="n">
        <f aca="false">IF(A69&gt;Hypothèses!$B$51,0,IF(A69&lt;=Hypothèses!$B$52,D69,PMT(Hypothèses!$B$50/12,Hypothèses!$B$51-Hypothèses!$B$52,-Hypothèses!$B$49)))</f>
        <v>7575.47715071207</v>
      </c>
      <c r="G69" s="6" t="n">
        <f aca="false">C69-E69</f>
        <v>138903.290991407</v>
      </c>
      <c r="H69" s="6" t="n">
        <f aca="false">IF(A69&gt;Hypothèses!$B$51,0,Hypothèses!$B$49*Hypothèses!$B$53/12)</f>
        <v>120</v>
      </c>
      <c r="I69" s="6" t="n">
        <f aca="false">IF(A69&gt;Hypothèses!$B$51,0,C69*Hypothèses!$B$54/12)</f>
        <v>97.3038400014074</v>
      </c>
    </row>
    <row r="70" customFormat="false" ht="15" hidden="false" customHeight="false" outlineLevel="0" collapsed="false">
      <c r="A70" s="4" t="n">
        <v>66</v>
      </c>
      <c r="B70" s="4" t="n">
        <f aca="false">INT((A70-1)/12)+1</f>
        <v>6</v>
      </c>
      <c r="C70" s="6" t="n">
        <f aca="false">G69</f>
        <v>138903.290991407</v>
      </c>
      <c r="D70" s="6" t="n">
        <f aca="false">IF(A70&gt;Hypothèses!$B$51,0,C70*Hypothèses!$B$50/12)</f>
        <v>497.736792719207</v>
      </c>
      <c r="E70" s="6" t="n">
        <f aca="false">F70-D70</f>
        <v>7077.74035799286</v>
      </c>
      <c r="F70" s="6" t="n">
        <f aca="false">IF(A70&gt;Hypothèses!$B$51,0,IF(A70&lt;=Hypothèses!$B$52,D70,PMT(Hypothèses!$B$50/12,Hypothèses!$B$51-Hypothèses!$B$52,-Hypothèses!$B$49)))</f>
        <v>7575.47715071207</v>
      </c>
      <c r="G70" s="6" t="n">
        <f aca="false">C70-E70</f>
        <v>131825.550633414</v>
      </c>
      <c r="H70" s="6" t="n">
        <f aca="false">IF(A70&gt;Hypothèses!$B$51,0,Hypothèses!$B$49*Hypothèses!$B$53/12)</f>
        <v>120</v>
      </c>
      <c r="I70" s="6" t="n">
        <f aca="false">IF(A70&gt;Hypothèses!$B$51,0,C70*Hypothèses!$B$54/12)</f>
        <v>92.6021939942711</v>
      </c>
    </row>
    <row r="71" customFormat="false" ht="15" hidden="false" customHeight="false" outlineLevel="0" collapsed="false">
      <c r="A71" s="4" t="n">
        <v>67</v>
      </c>
      <c r="B71" s="4" t="n">
        <f aca="false">INT((A71-1)/12)+1</f>
        <v>6</v>
      </c>
      <c r="C71" s="6" t="n">
        <f aca="false">G70</f>
        <v>131825.550633414</v>
      </c>
      <c r="D71" s="6" t="n">
        <f aca="false">IF(A71&gt;Hypothèses!$B$51,0,C71*Hypothèses!$B$50/12)</f>
        <v>472.374889769733</v>
      </c>
      <c r="E71" s="6" t="n">
        <f aca="false">F71-D71</f>
        <v>7103.10226094234</v>
      </c>
      <c r="F71" s="6" t="n">
        <f aca="false">IF(A71&gt;Hypothèses!$B$51,0,IF(A71&lt;=Hypothèses!$B$52,D71,PMT(Hypothèses!$B$50/12,Hypothèses!$B$51-Hypothèses!$B$52,-Hypothèses!$B$49)))</f>
        <v>7575.47715071207</v>
      </c>
      <c r="G71" s="6" t="n">
        <f aca="false">C71-E71</f>
        <v>124722.448372471</v>
      </c>
      <c r="H71" s="6" t="n">
        <f aca="false">IF(A71&gt;Hypothèses!$B$51,0,Hypothèses!$B$49*Hypothèses!$B$53/12)</f>
        <v>120</v>
      </c>
      <c r="I71" s="6" t="n">
        <f aca="false">IF(A71&gt;Hypothèses!$B$51,0,C71*Hypothèses!$B$54/12)</f>
        <v>87.8837004222759</v>
      </c>
    </row>
    <row r="72" customFormat="false" ht="15" hidden="false" customHeight="false" outlineLevel="0" collapsed="false">
      <c r="A72" s="4" t="n">
        <v>68</v>
      </c>
      <c r="B72" s="4" t="n">
        <f aca="false">INT((A72-1)/12)+1</f>
        <v>6</v>
      </c>
      <c r="C72" s="6" t="n">
        <f aca="false">G71</f>
        <v>124722.448372471</v>
      </c>
      <c r="D72" s="6" t="n">
        <f aca="false">IF(A72&gt;Hypothèses!$B$51,0,C72*Hypothèses!$B$50/12)</f>
        <v>446.922106668023</v>
      </c>
      <c r="E72" s="6" t="n">
        <f aca="false">F72-D72</f>
        <v>7128.55504404405</v>
      </c>
      <c r="F72" s="6" t="n">
        <f aca="false">IF(A72&gt;Hypothèses!$B$51,0,IF(A72&lt;=Hypothèses!$B$52,D72,PMT(Hypothèses!$B$50/12,Hypothèses!$B$51-Hypothèses!$B$52,-Hypothèses!$B$49)))</f>
        <v>7575.47715071207</v>
      </c>
      <c r="G72" s="6" t="n">
        <f aca="false">C72-E72</f>
        <v>117593.893328427</v>
      </c>
      <c r="H72" s="6" t="n">
        <f aca="false">IF(A72&gt;Hypothèses!$B$51,0,Hypothèses!$B$49*Hypothèses!$B$53/12)</f>
        <v>120</v>
      </c>
      <c r="I72" s="6" t="n">
        <f aca="false">IF(A72&gt;Hypothèses!$B$51,0,C72*Hypothèses!$B$54/12)</f>
        <v>83.148298914981</v>
      </c>
    </row>
    <row r="73" customFormat="false" ht="15" hidden="false" customHeight="false" outlineLevel="0" collapsed="false">
      <c r="A73" s="4" t="n">
        <v>69</v>
      </c>
      <c r="B73" s="4" t="n">
        <f aca="false">INT((A73-1)/12)+1</f>
        <v>6</v>
      </c>
      <c r="C73" s="6" t="n">
        <f aca="false">G72</f>
        <v>117593.893328427</v>
      </c>
      <c r="D73" s="6" t="n">
        <f aca="false">IF(A73&gt;Hypothèses!$B$51,0,C73*Hypothèses!$B$50/12)</f>
        <v>421.378117760198</v>
      </c>
      <c r="E73" s="6" t="n">
        <f aca="false">F73-D73</f>
        <v>7154.09903295187</v>
      </c>
      <c r="F73" s="6" t="n">
        <f aca="false">IF(A73&gt;Hypothèses!$B$51,0,IF(A73&lt;=Hypothèses!$B$52,D73,PMT(Hypothèses!$B$50/12,Hypothèses!$B$51-Hypothèses!$B$52,-Hypothèses!$B$49)))</f>
        <v>7575.47715071207</v>
      </c>
      <c r="G73" s="6" t="n">
        <f aca="false">C73-E73</f>
        <v>110439.794295476</v>
      </c>
      <c r="H73" s="6" t="n">
        <f aca="false">IF(A73&gt;Hypothèses!$B$51,0,Hypothèses!$B$49*Hypothèses!$B$53/12)</f>
        <v>120</v>
      </c>
      <c r="I73" s="6" t="n">
        <f aca="false">IF(A73&gt;Hypothèses!$B$51,0,C73*Hypothèses!$B$54/12)</f>
        <v>78.3959288856183</v>
      </c>
    </row>
    <row r="74" customFormat="false" ht="15" hidden="false" customHeight="false" outlineLevel="0" collapsed="false">
      <c r="A74" s="4" t="n">
        <v>70</v>
      </c>
      <c r="B74" s="4" t="n">
        <f aca="false">INT((A74-1)/12)+1</f>
        <v>6</v>
      </c>
      <c r="C74" s="6" t="n">
        <f aca="false">G73</f>
        <v>110439.794295476</v>
      </c>
      <c r="D74" s="6" t="n">
        <f aca="false">IF(A74&gt;Hypothèses!$B$51,0,C74*Hypothèses!$B$50/12)</f>
        <v>395.742596225454</v>
      </c>
      <c r="E74" s="6" t="n">
        <f aca="false">F74-D74</f>
        <v>7179.73455448662</v>
      </c>
      <c r="F74" s="6" t="n">
        <f aca="false">IF(A74&gt;Hypothèses!$B$51,0,IF(A74&lt;=Hypothèses!$B$52,D74,PMT(Hypothèses!$B$50/12,Hypothèses!$B$51-Hypothèses!$B$52,-Hypothèses!$B$49)))</f>
        <v>7575.47715071207</v>
      </c>
      <c r="G74" s="6" t="n">
        <f aca="false">C74-E74</f>
        <v>103260.059740989</v>
      </c>
      <c r="H74" s="6" t="n">
        <f aca="false">IF(A74&gt;Hypothèses!$B$51,0,Hypothèses!$B$49*Hypothèses!$B$53/12)</f>
        <v>120</v>
      </c>
      <c r="I74" s="6" t="n">
        <f aca="false">IF(A74&gt;Hypothèses!$B$51,0,C74*Hypothèses!$B$54/12)</f>
        <v>73.626529530317</v>
      </c>
    </row>
    <row r="75" customFormat="false" ht="15" hidden="false" customHeight="false" outlineLevel="0" collapsed="false">
      <c r="A75" s="4" t="n">
        <v>71</v>
      </c>
      <c r="B75" s="4" t="n">
        <f aca="false">INT((A75-1)/12)+1</f>
        <v>6</v>
      </c>
      <c r="C75" s="6" t="n">
        <f aca="false">G74</f>
        <v>103260.059740989</v>
      </c>
      <c r="D75" s="6" t="n">
        <f aca="false">IF(A75&gt;Hypothèses!$B$51,0,C75*Hypothèses!$B$50/12)</f>
        <v>370.015214071877</v>
      </c>
      <c r="E75" s="6" t="n">
        <f aca="false">F75-D75</f>
        <v>7205.46193664019</v>
      </c>
      <c r="F75" s="6" t="n">
        <f aca="false">IF(A75&gt;Hypothèses!$B$51,0,IF(A75&lt;=Hypothèses!$B$52,D75,PMT(Hypothèses!$B$50/12,Hypothèses!$B$51-Hypothèses!$B$52,-Hypothèses!$B$49)))</f>
        <v>7575.47715071207</v>
      </c>
      <c r="G75" s="6" t="n">
        <f aca="false">C75-E75</f>
        <v>96054.5978043487</v>
      </c>
      <c r="H75" s="6" t="n">
        <f aca="false">IF(A75&gt;Hypothèses!$B$51,0,Hypothèses!$B$49*Hypothèses!$B$53/12)</f>
        <v>120</v>
      </c>
      <c r="I75" s="6" t="n">
        <f aca="false">IF(A75&gt;Hypothèses!$B$51,0,C75*Hypothèses!$B$54/12)</f>
        <v>68.840039827326</v>
      </c>
    </row>
    <row r="76" customFormat="false" ht="15" hidden="false" customHeight="false" outlineLevel="0" collapsed="false">
      <c r="A76" s="4" t="n">
        <v>72</v>
      </c>
      <c r="B76" s="4" t="n">
        <f aca="false">INT((A76-1)/12)+1</f>
        <v>6</v>
      </c>
      <c r="C76" s="6" t="n">
        <f aca="false">G75</f>
        <v>96054.5978043487</v>
      </c>
      <c r="D76" s="6" t="n">
        <f aca="false">IF(A76&gt;Hypothèses!$B$51,0,C76*Hypothèses!$B$50/12)</f>
        <v>344.19564213225</v>
      </c>
      <c r="E76" s="6" t="n">
        <f aca="false">F76-D76</f>
        <v>7231.28150857982</v>
      </c>
      <c r="F76" s="6" t="n">
        <f aca="false">IF(A76&gt;Hypothèses!$B$51,0,IF(A76&lt;=Hypothèses!$B$52,D76,PMT(Hypothèses!$B$50/12,Hypothèses!$B$51-Hypothèses!$B$52,-Hypothèses!$B$49)))</f>
        <v>7575.47715071207</v>
      </c>
      <c r="G76" s="6" t="n">
        <f aca="false">C76-E76</f>
        <v>88823.3162957689</v>
      </c>
      <c r="H76" s="6" t="n">
        <f aca="false">IF(A76&gt;Hypothèses!$B$51,0,Hypothèses!$B$49*Hypothèses!$B$53/12)</f>
        <v>120</v>
      </c>
      <c r="I76" s="6" t="n">
        <f aca="false">IF(A76&gt;Hypothèses!$B$51,0,C76*Hypothèses!$B$54/12)</f>
        <v>64.0363985362325</v>
      </c>
    </row>
    <row r="77" customFormat="false" ht="15" hidden="false" customHeight="false" outlineLevel="0" collapsed="false">
      <c r="A77" s="4" t="n">
        <v>73</v>
      </c>
      <c r="B77" s="4" t="n">
        <f aca="false">INT((A77-1)/12)+1</f>
        <v>7</v>
      </c>
      <c r="C77" s="6" t="n">
        <f aca="false">G76</f>
        <v>88823.3162957689</v>
      </c>
      <c r="D77" s="6" t="n">
        <f aca="false">IF(A77&gt;Hypothèses!$B$51,0,C77*Hypothèses!$B$50/12)</f>
        <v>318.283550059839</v>
      </c>
      <c r="E77" s="6" t="n">
        <f aca="false">F77-D77</f>
        <v>7257.19360065223</v>
      </c>
      <c r="F77" s="6" t="n">
        <f aca="false">IF(A77&gt;Hypothèses!$B$51,0,IF(A77&lt;=Hypothèses!$B$52,D77,PMT(Hypothèses!$B$50/12,Hypothèses!$B$51-Hypothèses!$B$52,-Hypothèses!$B$49)))</f>
        <v>7575.47715071207</v>
      </c>
      <c r="G77" s="6" t="n">
        <f aca="false">C77-E77</f>
        <v>81566.1226951167</v>
      </c>
      <c r="H77" s="6" t="n">
        <f aca="false">IF(A77&gt;Hypothèses!$B$51,0,Hypothèses!$B$49*Hypothèses!$B$53/12)</f>
        <v>120</v>
      </c>
      <c r="I77" s="6" t="n">
        <f aca="false">IF(A77&gt;Hypothèses!$B$51,0,C77*Hypothèses!$B$54/12)</f>
        <v>59.2155441971793</v>
      </c>
    </row>
    <row r="78" customFormat="false" ht="15" hidden="false" customHeight="false" outlineLevel="0" collapsed="false">
      <c r="A78" s="4" t="n">
        <v>74</v>
      </c>
      <c r="B78" s="4" t="n">
        <f aca="false">INT((A78-1)/12)+1</f>
        <v>7</v>
      </c>
      <c r="C78" s="6" t="n">
        <f aca="false">G77</f>
        <v>81566.1226951167</v>
      </c>
      <c r="D78" s="6" t="n">
        <f aca="false">IF(A78&gt;Hypothèses!$B$51,0,C78*Hypothèses!$B$50/12)</f>
        <v>292.278606324168</v>
      </c>
      <c r="E78" s="6" t="n">
        <f aca="false">F78-D78</f>
        <v>7283.1985443879</v>
      </c>
      <c r="F78" s="6" t="n">
        <f aca="false">IF(A78&gt;Hypothèses!$B$51,0,IF(A78&lt;=Hypothèses!$B$52,D78,PMT(Hypothèses!$B$50/12,Hypothèses!$B$51-Hypothèses!$B$52,-Hypothèses!$B$49)))</f>
        <v>7575.47715071207</v>
      </c>
      <c r="G78" s="6" t="n">
        <f aca="false">C78-E78</f>
        <v>74282.9241507288</v>
      </c>
      <c r="H78" s="6" t="n">
        <f aca="false">IF(A78&gt;Hypothèses!$B$51,0,Hypothèses!$B$49*Hypothèses!$B$53/12)</f>
        <v>120</v>
      </c>
      <c r="I78" s="6" t="n">
        <f aca="false">IF(A78&gt;Hypothèses!$B$51,0,C78*Hypothèses!$B$54/12)</f>
        <v>54.3774151300778</v>
      </c>
    </row>
    <row r="79" customFormat="false" ht="15" hidden="false" customHeight="false" outlineLevel="0" collapsed="false">
      <c r="A79" s="4" t="n">
        <v>75</v>
      </c>
      <c r="B79" s="4" t="n">
        <f aca="false">INT((A79-1)/12)+1</f>
        <v>7</v>
      </c>
      <c r="C79" s="6" t="n">
        <f aca="false">G78</f>
        <v>74282.9241507288</v>
      </c>
      <c r="D79" s="6" t="n">
        <f aca="false">IF(A79&gt;Hypothèses!$B$51,0,C79*Hypothèses!$B$50/12)</f>
        <v>266.180478206778</v>
      </c>
      <c r="E79" s="6" t="n">
        <f aca="false">F79-D79</f>
        <v>7309.29667250529</v>
      </c>
      <c r="F79" s="6" t="n">
        <f aca="false">IF(A79&gt;Hypothèses!$B$51,0,IF(A79&lt;=Hypothèses!$B$52,D79,PMT(Hypothèses!$B$50/12,Hypothèses!$B$51-Hypothèses!$B$52,-Hypothèses!$B$49)))</f>
        <v>7575.47715071207</v>
      </c>
      <c r="G79" s="6" t="n">
        <f aca="false">C79-E79</f>
        <v>66973.6274782235</v>
      </c>
      <c r="H79" s="6" t="n">
        <f aca="false">IF(A79&gt;Hypothèses!$B$51,0,Hypothèses!$B$49*Hypothèses!$B$53/12)</f>
        <v>120</v>
      </c>
      <c r="I79" s="6" t="n">
        <f aca="false">IF(A79&gt;Hypothèses!$B$51,0,C79*Hypothèses!$B$54/12)</f>
        <v>49.5219494338192</v>
      </c>
    </row>
    <row r="80" customFormat="false" ht="15" hidden="false" customHeight="false" outlineLevel="0" collapsed="false">
      <c r="A80" s="4" t="n">
        <v>76</v>
      </c>
      <c r="B80" s="4" t="n">
        <f aca="false">INT((A80-1)/12)+1</f>
        <v>7</v>
      </c>
      <c r="C80" s="6" t="n">
        <f aca="false">G79</f>
        <v>66973.6274782235</v>
      </c>
      <c r="D80" s="6" t="n">
        <f aca="false">IF(A80&gt;Hypothèses!$B$51,0,C80*Hypothèses!$B$50/12)</f>
        <v>239.988831796967</v>
      </c>
      <c r="E80" s="6" t="n">
        <f aca="false">F80-D80</f>
        <v>7335.4883189151</v>
      </c>
      <c r="F80" s="6" t="n">
        <f aca="false">IF(A80&gt;Hypothèses!$B$51,0,IF(A80&lt;=Hypothèses!$B$52,D80,PMT(Hypothèses!$B$50/12,Hypothèses!$B$51-Hypothèses!$B$52,-Hypothèses!$B$49)))</f>
        <v>7575.47715071207</v>
      </c>
      <c r="G80" s="6" t="n">
        <f aca="false">C80-E80</f>
        <v>59638.1391593084</v>
      </c>
      <c r="H80" s="6" t="n">
        <f aca="false">IF(A80&gt;Hypothèses!$B$51,0,Hypothèses!$B$49*Hypothèses!$B$53/12)</f>
        <v>120</v>
      </c>
      <c r="I80" s="6" t="n">
        <f aca="false">IF(A80&gt;Hypothèses!$B$51,0,C80*Hypothèses!$B$54/12)</f>
        <v>44.6490849854823</v>
      </c>
    </row>
    <row r="81" customFormat="false" ht="15" hidden="false" customHeight="false" outlineLevel="0" collapsed="false">
      <c r="A81" s="4" t="n">
        <v>77</v>
      </c>
      <c r="B81" s="4" t="n">
        <f aca="false">INT((A81-1)/12)+1</f>
        <v>7</v>
      </c>
      <c r="C81" s="6" t="n">
        <f aca="false">G80</f>
        <v>59638.1391593084</v>
      </c>
      <c r="D81" s="6" t="n">
        <f aca="false">IF(A81&gt;Hypothèses!$B$51,0,C81*Hypothèses!$B$50/12)</f>
        <v>213.703331987522</v>
      </c>
      <c r="E81" s="6" t="n">
        <f aca="false">F81-D81</f>
        <v>7361.77381872455</v>
      </c>
      <c r="F81" s="6" t="n">
        <f aca="false">IF(A81&gt;Hypothèses!$B$51,0,IF(A81&lt;=Hypothèses!$B$52,D81,PMT(Hypothèses!$B$50/12,Hypothèses!$B$51-Hypothèses!$B$52,-Hypothèses!$B$49)))</f>
        <v>7575.47715071207</v>
      </c>
      <c r="G81" s="6" t="n">
        <f aca="false">C81-E81</f>
        <v>52276.3653405838</v>
      </c>
      <c r="H81" s="6" t="n">
        <f aca="false">IF(A81&gt;Hypothèses!$B$51,0,Hypothèses!$B$49*Hypothèses!$B$53/12)</f>
        <v>120</v>
      </c>
      <c r="I81" s="6" t="n">
        <f aca="false">IF(A81&gt;Hypothèses!$B$51,0,C81*Hypothèses!$B$54/12)</f>
        <v>39.7587594395389</v>
      </c>
    </row>
    <row r="82" customFormat="false" ht="15" hidden="false" customHeight="false" outlineLevel="0" collapsed="false">
      <c r="A82" s="4" t="n">
        <v>78</v>
      </c>
      <c r="B82" s="4" t="n">
        <f aca="false">INT((A82-1)/12)+1</f>
        <v>7</v>
      </c>
      <c r="C82" s="6" t="n">
        <f aca="false">G81</f>
        <v>52276.3653405838</v>
      </c>
      <c r="D82" s="6" t="n">
        <f aca="false">IF(A82&gt;Hypothèses!$B$51,0,C82*Hypothèses!$B$50/12)</f>
        <v>187.323642470425</v>
      </c>
      <c r="E82" s="6" t="n">
        <f aca="false">F82-D82</f>
        <v>7388.15350824164</v>
      </c>
      <c r="F82" s="6" t="n">
        <f aca="false">IF(A82&gt;Hypothèses!$B$51,0,IF(A82&lt;=Hypothèses!$B$52,D82,PMT(Hypothèses!$B$50/12,Hypothèses!$B$51-Hypothèses!$B$52,-Hypothèses!$B$49)))</f>
        <v>7575.47715071207</v>
      </c>
      <c r="G82" s="6" t="n">
        <f aca="false">C82-E82</f>
        <v>44888.2118323422</v>
      </c>
      <c r="H82" s="6" t="n">
        <f aca="false">IF(A82&gt;Hypothèses!$B$51,0,Hypothèses!$B$49*Hypothèses!$B$53/12)</f>
        <v>120</v>
      </c>
      <c r="I82" s="6" t="n">
        <f aca="false">IF(A82&gt;Hypothèses!$B$51,0,C82*Hypothèses!$B$54/12)</f>
        <v>34.8509102270559</v>
      </c>
    </row>
    <row r="83" customFormat="false" ht="15" hidden="false" customHeight="false" outlineLevel="0" collapsed="false">
      <c r="A83" s="4" t="n">
        <v>79</v>
      </c>
      <c r="B83" s="4" t="n">
        <f aca="false">INT((A83-1)/12)+1</f>
        <v>7</v>
      </c>
      <c r="C83" s="6" t="n">
        <f aca="false">G82</f>
        <v>44888.2118323422</v>
      </c>
      <c r="D83" s="6" t="n">
        <f aca="false">IF(A83&gt;Hypothèses!$B$51,0,C83*Hypothèses!$B$50/12)</f>
        <v>160.84942573256</v>
      </c>
      <c r="E83" s="6" t="n">
        <f aca="false">F83-D83</f>
        <v>7414.62772497951</v>
      </c>
      <c r="F83" s="6" t="n">
        <f aca="false">IF(A83&gt;Hypothèses!$B$51,0,IF(A83&lt;=Hypothèses!$B$52,D83,PMT(Hypothèses!$B$50/12,Hypothèses!$B$51-Hypothèses!$B$52,-Hypothèses!$B$49)))</f>
        <v>7575.47715071207</v>
      </c>
      <c r="G83" s="6" t="n">
        <f aca="false">C83-E83</f>
        <v>37473.5841073627</v>
      </c>
      <c r="H83" s="6" t="n">
        <f aca="false">IF(A83&gt;Hypothèses!$B$51,0,Hypothèses!$B$49*Hypothèses!$B$53/12)</f>
        <v>120</v>
      </c>
      <c r="I83" s="6" t="n">
        <f aca="false">IF(A83&gt;Hypothèses!$B$51,0,C83*Hypothèses!$B$54/12)</f>
        <v>29.9254745548948</v>
      </c>
    </row>
    <row r="84" customFormat="false" ht="15" hidden="false" customHeight="false" outlineLevel="0" collapsed="false">
      <c r="A84" s="4" t="n">
        <v>80</v>
      </c>
      <c r="B84" s="4" t="n">
        <f aca="false">INT((A84-1)/12)+1</f>
        <v>7</v>
      </c>
      <c r="C84" s="6" t="n">
        <f aca="false">G83</f>
        <v>37473.5841073627</v>
      </c>
      <c r="D84" s="6" t="n">
        <f aca="false">IF(A84&gt;Hypothèses!$B$51,0,C84*Hypothèses!$B$50/12)</f>
        <v>134.280343051383</v>
      </c>
      <c r="E84" s="6" t="n">
        <f aca="false">F84-D84</f>
        <v>7441.19680766069</v>
      </c>
      <c r="F84" s="6" t="n">
        <f aca="false">IF(A84&gt;Hypothèses!$B$51,0,IF(A84&lt;=Hypothèses!$B$52,D84,PMT(Hypothèses!$B$50/12,Hypothèses!$B$51-Hypothèses!$B$52,-Hypothèses!$B$49)))</f>
        <v>7575.47715071207</v>
      </c>
      <c r="G84" s="6" t="n">
        <f aca="false">C84-E84</f>
        <v>30032.387299702</v>
      </c>
      <c r="H84" s="6" t="n">
        <f aca="false">IF(A84&gt;Hypothèses!$B$51,0,Hypothèses!$B$49*Hypothèses!$B$53/12)</f>
        <v>120</v>
      </c>
      <c r="I84" s="6" t="n">
        <f aca="false">IF(A84&gt;Hypothèses!$B$51,0,C84*Hypothèses!$B$54/12)</f>
        <v>24.9823894049085</v>
      </c>
    </row>
    <row r="85" customFormat="false" ht="15" hidden="false" customHeight="false" outlineLevel="0" collapsed="false">
      <c r="A85" s="4" t="n">
        <v>81</v>
      </c>
      <c r="B85" s="4" t="n">
        <f aca="false">INT((A85-1)/12)+1</f>
        <v>7</v>
      </c>
      <c r="C85" s="6" t="n">
        <f aca="false">G84</f>
        <v>30032.387299702</v>
      </c>
      <c r="D85" s="6" t="n">
        <f aca="false">IF(A85&gt;Hypothèses!$B$51,0,C85*Hypothèses!$B$50/12)</f>
        <v>107.616054490599</v>
      </c>
      <c r="E85" s="6" t="n">
        <f aca="false">F85-D85</f>
        <v>7467.86109622147</v>
      </c>
      <c r="F85" s="6" t="n">
        <f aca="false">IF(A85&gt;Hypothèses!$B$51,0,IF(A85&lt;=Hypothèses!$B$52,D85,PMT(Hypothèses!$B$50/12,Hypothèses!$B$51-Hypothèses!$B$52,-Hypothèses!$B$49)))</f>
        <v>7575.47715071207</v>
      </c>
      <c r="G85" s="6" t="n">
        <f aca="false">C85-E85</f>
        <v>22564.5262034805</v>
      </c>
      <c r="H85" s="6" t="n">
        <f aca="false">IF(A85&gt;Hypothèses!$B$51,0,Hypothèses!$B$49*Hypothèses!$B$53/12)</f>
        <v>120</v>
      </c>
      <c r="I85" s="6" t="n">
        <f aca="false">IF(A85&gt;Hypothèses!$B$51,0,C85*Hypothèses!$B$54/12)</f>
        <v>20.0215915331347</v>
      </c>
    </row>
    <row r="86" customFormat="false" ht="15" hidden="false" customHeight="false" outlineLevel="0" collapsed="false">
      <c r="A86" s="4" t="n">
        <v>82</v>
      </c>
      <c r="B86" s="4" t="n">
        <f aca="false">INT((A86-1)/12)+1</f>
        <v>7</v>
      </c>
      <c r="C86" s="6" t="n">
        <f aca="false">G85</f>
        <v>22564.5262034805</v>
      </c>
      <c r="D86" s="6" t="n">
        <f aca="false">IF(A86&gt;Hypothèses!$B$51,0,C86*Hypothèses!$B$50/12)</f>
        <v>80.8562188958052</v>
      </c>
      <c r="E86" s="6" t="n">
        <f aca="false">F86-D86</f>
        <v>7494.62093181627</v>
      </c>
      <c r="F86" s="6" t="n">
        <f aca="false">IF(A86&gt;Hypothèses!$B$51,0,IF(A86&lt;=Hypothèses!$B$52,D86,PMT(Hypothèses!$B$50/12,Hypothèses!$B$51-Hypothèses!$B$52,-Hypothèses!$B$49)))</f>
        <v>7575.47715071207</v>
      </c>
      <c r="G86" s="6" t="n">
        <f aca="false">C86-E86</f>
        <v>15069.9052716643</v>
      </c>
      <c r="H86" s="6" t="n">
        <f aca="false">IF(A86&gt;Hypothèses!$B$51,0,Hypothèses!$B$49*Hypothèses!$B$53/12)</f>
        <v>120</v>
      </c>
      <c r="I86" s="6" t="n">
        <f aca="false">IF(A86&gt;Hypothèses!$B$51,0,C86*Hypothèses!$B$54/12)</f>
        <v>15.043017468987</v>
      </c>
    </row>
    <row r="87" customFormat="false" ht="15" hidden="false" customHeight="false" outlineLevel="0" collapsed="false">
      <c r="A87" s="4" t="n">
        <v>83</v>
      </c>
      <c r="B87" s="4" t="n">
        <f aca="false">INT((A87-1)/12)+1</f>
        <v>7</v>
      </c>
      <c r="C87" s="6" t="n">
        <f aca="false">G86</f>
        <v>15069.9052716643</v>
      </c>
      <c r="D87" s="6" t="n">
        <f aca="false">IF(A87&gt;Hypothèses!$B$51,0,C87*Hypothèses!$B$50/12)</f>
        <v>54.0004938901303</v>
      </c>
      <c r="E87" s="6" t="n">
        <f aca="false">F87-D87</f>
        <v>7521.47665682194</v>
      </c>
      <c r="F87" s="6" t="n">
        <f aca="false">IF(A87&gt;Hypothèses!$B$51,0,IF(A87&lt;=Hypothèses!$B$52,D87,PMT(Hypothèses!$B$50/12,Hypothèses!$B$51-Hypothèses!$B$52,-Hypothèses!$B$49)))</f>
        <v>7575.47715071207</v>
      </c>
      <c r="G87" s="6" t="n">
        <f aca="false">C87-E87</f>
        <v>7548.42861484232</v>
      </c>
      <c r="H87" s="6" t="n">
        <f aca="false">IF(A87&gt;Hypothèses!$B$51,0,Hypothèses!$B$49*Hypothèses!$B$53/12)</f>
        <v>120</v>
      </c>
      <c r="I87" s="6" t="n">
        <f aca="false">IF(A87&gt;Hypothèses!$B$51,0,C87*Hypothèses!$B$54/12)</f>
        <v>10.0466035144428</v>
      </c>
    </row>
    <row r="88" customFormat="false" ht="15" hidden="false" customHeight="false" outlineLevel="0" collapsed="false">
      <c r="A88" s="4" t="n">
        <v>84</v>
      </c>
      <c r="B88" s="4" t="n">
        <f aca="false">INT((A88-1)/12)+1</f>
        <v>7</v>
      </c>
      <c r="C88" s="6" t="n">
        <f aca="false">G87</f>
        <v>7548.42861484232</v>
      </c>
      <c r="D88" s="6" t="n">
        <f aca="false">IF(A88&gt;Hypothèses!$B$51,0,C88*Hypothèses!$B$50/12)</f>
        <v>27.0485358698516</v>
      </c>
      <c r="E88" s="6" t="n">
        <f aca="false">F88-D88</f>
        <v>7548.42861484222</v>
      </c>
      <c r="F88" s="6" t="n">
        <f aca="false">IF(A88&gt;Hypothèses!$B$51,0,IF(A88&lt;=Hypothèses!$B$52,D88,PMT(Hypothèses!$B$50/12,Hypothèses!$B$51-Hypothèses!$B$52,-Hypothèses!$B$49)))</f>
        <v>7575.47715071207</v>
      </c>
      <c r="G88" s="6" t="n">
        <f aca="false">C88-E88</f>
        <v>1.00953911896795E-010</v>
      </c>
      <c r="H88" s="6" t="n">
        <f aca="false">IF(A88&gt;Hypothèses!$B$51,0,Hypothèses!$B$49*Hypothèses!$B$53/12)</f>
        <v>120</v>
      </c>
      <c r="I88" s="6" t="n">
        <f aca="false">IF(A88&gt;Hypothèses!$B$51,0,C88*Hypothèses!$B$54/12)</f>
        <v>5.03228574322821</v>
      </c>
    </row>
    <row r="89" customFormat="false" ht="15" hidden="false" customHeight="false" outlineLevel="0" collapsed="false">
      <c r="A89" s="4" t="n">
        <v>85</v>
      </c>
      <c r="B89" s="4" t="n">
        <f aca="false">INT((A89-1)/12)+1</f>
        <v>8</v>
      </c>
      <c r="C89" s="6" t="n">
        <f aca="false">G88</f>
        <v>1.00953911896795E-010</v>
      </c>
      <c r="D89" s="6" t="n">
        <f aca="false">IF(A89&gt;Hypothèses!$B$51,0,C89*Hypothèses!$B$50/12)</f>
        <v>0</v>
      </c>
      <c r="E89" s="6" t="n">
        <f aca="false">F89-D89</f>
        <v>0</v>
      </c>
      <c r="F89" s="6" t="n">
        <f aca="false">IF(A89&gt;Hypothèses!$B$51,0,IF(A89&lt;=Hypothèses!$B$52,D89,PMT(Hypothèses!$B$50/12,Hypothèses!$B$51-Hypothèses!$B$52,-Hypothèses!$B$49)))</f>
        <v>0</v>
      </c>
      <c r="G89" s="6" t="n">
        <f aca="false">C89-E89</f>
        <v>1.00953911896795E-010</v>
      </c>
      <c r="H89" s="6" t="n">
        <f aca="false">IF(A89&gt;Hypothèses!$B$51,0,Hypothèses!$B$49*Hypothèses!$B$53/12)</f>
        <v>0</v>
      </c>
      <c r="I89" s="6" t="n">
        <f aca="false">IF(A89&gt;Hypothèses!$B$51,0,C89*Hypothèses!$B$54/12)</f>
        <v>0</v>
      </c>
    </row>
    <row r="90" customFormat="false" ht="15" hidden="false" customHeight="false" outlineLevel="0" collapsed="false">
      <c r="A90" s="4" t="n">
        <v>86</v>
      </c>
      <c r="B90" s="4" t="n">
        <f aca="false">INT((A90-1)/12)+1</f>
        <v>8</v>
      </c>
      <c r="C90" s="6" t="n">
        <f aca="false">G89</f>
        <v>1.00953911896795E-010</v>
      </c>
      <c r="D90" s="6" t="n">
        <f aca="false">IF(A90&gt;Hypothèses!$B$51,0,C90*Hypothèses!$B$50/12)</f>
        <v>0</v>
      </c>
      <c r="E90" s="6" t="n">
        <f aca="false">F90-D90</f>
        <v>0</v>
      </c>
      <c r="F90" s="6" t="n">
        <f aca="false">IF(A90&gt;Hypothèses!$B$51,0,IF(A90&lt;=Hypothèses!$B$52,D90,PMT(Hypothèses!$B$50/12,Hypothèses!$B$51-Hypothèses!$B$52,-Hypothèses!$B$49)))</f>
        <v>0</v>
      </c>
      <c r="G90" s="6" t="n">
        <f aca="false">C90-E90</f>
        <v>1.00953911896795E-010</v>
      </c>
      <c r="H90" s="6" t="n">
        <f aca="false">IF(A90&gt;Hypothèses!$B$51,0,Hypothèses!$B$49*Hypothèses!$B$53/12)</f>
        <v>0</v>
      </c>
      <c r="I90" s="6" t="n">
        <f aca="false">IF(A90&gt;Hypothèses!$B$51,0,C90*Hypothèses!$B$54/12)</f>
        <v>0</v>
      </c>
    </row>
    <row r="91" customFormat="false" ht="15" hidden="false" customHeight="false" outlineLevel="0" collapsed="false">
      <c r="A91" s="4" t="n">
        <v>87</v>
      </c>
      <c r="B91" s="4" t="n">
        <f aca="false">INT((A91-1)/12)+1</f>
        <v>8</v>
      </c>
      <c r="C91" s="6" t="n">
        <f aca="false">G90</f>
        <v>1.00953911896795E-010</v>
      </c>
      <c r="D91" s="6" t="n">
        <f aca="false">IF(A91&gt;Hypothèses!$B$51,0,C91*Hypothèses!$B$50/12)</f>
        <v>0</v>
      </c>
      <c r="E91" s="6" t="n">
        <f aca="false">F91-D91</f>
        <v>0</v>
      </c>
      <c r="F91" s="6" t="n">
        <f aca="false">IF(A91&gt;Hypothèses!$B$51,0,IF(A91&lt;=Hypothèses!$B$52,D91,PMT(Hypothèses!$B$50/12,Hypothèses!$B$51-Hypothèses!$B$52,-Hypothèses!$B$49)))</f>
        <v>0</v>
      </c>
      <c r="G91" s="6" t="n">
        <f aca="false">C91-E91</f>
        <v>1.00953911896795E-010</v>
      </c>
      <c r="H91" s="6" t="n">
        <f aca="false">IF(A91&gt;Hypothèses!$B$51,0,Hypothèses!$B$49*Hypothèses!$B$53/12)</f>
        <v>0</v>
      </c>
      <c r="I91" s="6" t="n">
        <f aca="false">IF(A91&gt;Hypothèses!$B$51,0,C91*Hypothèses!$B$54/12)</f>
        <v>0</v>
      </c>
    </row>
    <row r="92" customFormat="false" ht="15" hidden="false" customHeight="false" outlineLevel="0" collapsed="false">
      <c r="A92" s="4" t="n">
        <v>88</v>
      </c>
      <c r="B92" s="4" t="n">
        <f aca="false">INT((A92-1)/12)+1</f>
        <v>8</v>
      </c>
      <c r="C92" s="6" t="n">
        <f aca="false">G91</f>
        <v>1.00953911896795E-010</v>
      </c>
      <c r="D92" s="6" t="n">
        <f aca="false">IF(A92&gt;Hypothèses!$B$51,0,C92*Hypothèses!$B$50/12)</f>
        <v>0</v>
      </c>
      <c r="E92" s="6" t="n">
        <f aca="false">F92-D92</f>
        <v>0</v>
      </c>
      <c r="F92" s="6" t="n">
        <f aca="false">IF(A92&gt;Hypothèses!$B$51,0,IF(A92&lt;=Hypothèses!$B$52,D92,PMT(Hypothèses!$B$50/12,Hypothèses!$B$51-Hypothèses!$B$52,-Hypothèses!$B$49)))</f>
        <v>0</v>
      </c>
      <c r="G92" s="6" t="n">
        <f aca="false">C92-E92</f>
        <v>1.00953911896795E-010</v>
      </c>
      <c r="H92" s="6" t="n">
        <f aca="false">IF(A92&gt;Hypothèses!$B$51,0,Hypothèses!$B$49*Hypothèses!$B$53/12)</f>
        <v>0</v>
      </c>
      <c r="I92" s="6" t="n">
        <f aca="false">IF(A92&gt;Hypothèses!$B$51,0,C92*Hypothèses!$B$54/12)</f>
        <v>0</v>
      </c>
    </row>
    <row r="93" customFormat="false" ht="15" hidden="false" customHeight="false" outlineLevel="0" collapsed="false">
      <c r="A93" s="4" t="n">
        <v>89</v>
      </c>
      <c r="B93" s="4" t="n">
        <f aca="false">INT((A93-1)/12)+1</f>
        <v>8</v>
      </c>
      <c r="C93" s="6" t="n">
        <f aca="false">G92</f>
        <v>1.00953911896795E-010</v>
      </c>
      <c r="D93" s="6" t="n">
        <f aca="false">IF(A93&gt;Hypothèses!$B$51,0,C93*Hypothèses!$B$50/12)</f>
        <v>0</v>
      </c>
      <c r="E93" s="6" t="n">
        <f aca="false">F93-D93</f>
        <v>0</v>
      </c>
      <c r="F93" s="6" t="n">
        <f aca="false">IF(A93&gt;Hypothèses!$B$51,0,IF(A93&lt;=Hypothèses!$B$52,D93,PMT(Hypothèses!$B$50/12,Hypothèses!$B$51-Hypothèses!$B$52,-Hypothèses!$B$49)))</f>
        <v>0</v>
      </c>
      <c r="G93" s="6" t="n">
        <f aca="false">C93-E93</f>
        <v>1.00953911896795E-010</v>
      </c>
      <c r="H93" s="6" t="n">
        <f aca="false">IF(A93&gt;Hypothèses!$B$51,0,Hypothèses!$B$49*Hypothèses!$B$53/12)</f>
        <v>0</v>
      </c>
      <c r="I93" s="6" t="n">
        <f aca="false">IF(A93&gt;Hypothèses!$B$51,0,C93*Hypothèses!$B$54/12)</f>
        <v>0</v>
      </c>
    </row>
    <row r="94" customFormat="false" ht="15" hidden="false" customHeight="false" outlineLevel="0" collapsed="false">
      <c r="A94" s="4" t="n">
        <v>90</v>
      </c>
      <c r="B94" s="4" t="n">
        <f aca="false">INT((A94-1)/12)+1</f>
        <v>8</v>
      </c>
      <c r="C94" s="6" t="n">
        <f aca="false">G93</f>
        <v>1.00953911896795E-010</v>
      </c>
      <c r="D94" s="6" t="n">
        <f aca="false">IF(A94&gt;Hypothèses!$B$51,0,C94*Hypothèses!$B$50/12)</f>
        <v>0</v>
      </c>
      <c r="E94" s="6" t="n">
        <f aca="false">F94-D94</f>
        <v>0</v>
      </c>
      <c r="F94" s="6" t="n">
        <f aca="false">IF(A94&gt;Hypothèses!$B$51,0,IF(A94&lt;=Hypothèses!$B$52,D94,PMT(Hypothèses!$B$50/12,Hypothèses!$B$51-Hypothèses!$B$52,-Hypothèses!$B$49)))</f>
        <v>0</v>
      </c>
      <c r="G94" s="6" t="n">
        <f aca="false">C94-E94</f>
        <v>1.00953911896795E-010</v>
      </c>
      <c r="H94" s="6" t="n">
        <f aca="false">IF(A94&gt;Hypothèses!$B$51,0,Hypothèses!$B$49*Hypothèses!$B$53/12)</f>
        <v>0</v>
      </c>
      <c r="I94" s="6" t="n">
        <f aca="false">IF(A94&gt;Hypothèses!$B$51,0,C94*Hypothèses!$B$54/12)</f>
        <v>0</v>
      </c>
    </row>
    <row r="95" customFormat="false" ht="15" hidden="false" customHeight="false" outlineLevel="0" collapsed="false">
      <c r="A95" s="4" t="n">
        <v>91</v>
      </c>
      <c r="B95" s="4" t="n">
        <f aca="false">INT((A95-1)/12)+1</f>
        <v>8</v>
      </c>
      <c r="C95" s="6" t="n">
        <f aca="false">G94</f>
        <v>1.00953911896795E-010</v>
      </c>
      <c r="D95" s="6" t="n">
        <f aca="false">IF(A95&gt;Hypothèses!$B$51,0,C95*Hypothèses!$B$50/12)</f>
        <v>0</v>
      </c>
      <c r="E95" s="6" t="n">
        <f aca="false">F95-D95</f>
        <v>0</v>
      </c>
      <c r="F95" s="6" t="n">
        <f aca="false">IF(A95&gt;Hypothèses!$B$51,0,IF(A95&lt;=Hypothèses!$B$52,D95,PMT(Hypothèses!$B$50/12,Hypothèses!$B$51-Hypothèses!$B$52,-Hypothèses!$B$49)))</f>
        <v>0</v>
      </c>
      <c r="G95" s="6" t="n">
        <f aca="false">C95-E95</f>
        <v>1.00953911896795E-010</v>
      </c>
      <c r="H95" s="6" t="n">
        <f aca="false">IF(A95&gt;Hypothèses!$B$51,0,Hypothèses!$B$49*Hypothèses!$B$53/12)</f>
        <v>0</v>
      </c>
      <c r="I95" s="6" t="n">
        <f aca="false">IF(A95&gt;Hypothèses!$B$51,0,C95*Hypothèses!$B$54/12)</f>
        <v>0</v>
      </c>
    </row>
    <row r="96" customFormat="false" ht="15" hidden="false" customHeight="false" outlineLevel="0" collapsed="false">
      <c r="A96" s="4" t="n">
        <v>92</v>
      </c>
      <c r="B96" s="4" t="n">
        <f aca="false">INT((A96-1)/12)+1</f>
        <v>8</v>
      </c>
      <c r="C96" s="6" t="n">
        <f aca="false">G95</f>
        <v>1.00953911896795E-010</v>
      </c>
      <c r="D96" s="6" t="n">
        <f aca="false">IF(A96&gt;Hypothèses!$B$51,0,C96*Hypothèses!$B$50/12)</f>
        <v>0</v>
      </c>
      <c r="E96" s="6" t="n">
        <f aca="false">F96-D96</f>
        <v>0</v>
      </c>
      <c r="F96" s="6" t="n">
        <f aca="false">IF(A96&gt;Hypothèses!$B$51,0,IF(A96&lt;=Hypothèses!$B$52,D96,PMT(Hypothèses!$B$50/12,Hypothèses!$B$51-Hypothèses!$B$52,-Hypothèses!$B$49)))</f>
        <v>0</v>
      </c>
      <c r="G96" s="6" t="n">
        <f aca="false">C96-E96</f>
        <v>1.00953911896795E-010</v>
      </c>
      <c r="H96" s="6" t="n">
        <f aca="false">IF(A96&gt;Hypothèses!$B$51,0,Hypothèses!$B$49*Hypothèses!$B$53/12)</f>
        <v>0</v>
      </c>
      <c r="I96" s="6" t="n">
        <f aca="false">IF(A96&gt;Hypothèses!$B$51,0,C96*Hypothèses!$B$54/12)</f>
        <v>0</v>
      </c>
    </row>
    <row r="97" customFormat="false" ht="15" hidden="false" customHeight="false" outlineLevel="0" collapsed="false">
      <c r="A97" s="4" t="n">
        <v>93</v>
      </c>
      <c r="B97" s="4" t="n">
        <f aca="false">INT((A97-1)/12)+1</f>
        <v>8</v>
      </c>
      <c r="C97" s="6" t="n">
        <f aca="false">G96</f>
        <v>1.00953911896795E-010</v>
      </c>
      <c r="D97" s="6" t="n">
        <f aca="false">IF(A97&gt;Hypothèses!$B$51,0,C97*Hypothèses!$B$50/12)</f>
        <v>0</v>
      </c>
      <c r="E97" s="6" t="n">
        <f aca="false">F97-D97</f>
        <v>0</v>
      </c>
      <c r="F97" s="6" t="n">
        <f aca="false">IF(A97&gt;Hypothèses!$B$51,0,IF(A97&lt;=Hypothèses!$B$52,D97,PMT(Hypothèses!$B$50/12,Hypothèses!$B$51-Hypothèses!$B$52,-Hypothèses!$B$49)))</f>
        <v>0</v>
      </c>
      <c r="G97" s="6" t="n">
        <f aca="false">C97-E97</f>
        <v>1.00953911896795E-010</v>
      </c>
      <c r="H97" s="6" t="n">
        <f aca="false">IF(A97&gt;Hypothèses!$B$51,0,Hypothèses!$B$49*Hypothèses!$B$53/12)</f>
        <v>0</v>
      </c>
      <c r="I97" s="6" t="n">
        <f aca="false">IF(A97&gt;Hypothèses!$B$51,0,C97*Hypothèses!$B$54/12)</f>
        <v>0</v>
      </c>
    </row>
    <row r="98" customFormat="false" ht="15" hidden="false" customHeight="false" outlineLevel="0" collapsed="false">
      <c r="A98" s="4" t="n">
        <v>94</v>
      </c>
      <c r="B98" s="4" t="n">
        <f aca="false">INT((A98-1)/12)+1</f>
        <v>8</v>
      </c>
      <c r="C98" s="6" t="n">
        <f aca="false">G97</f>
        <v>1.00953911896795E-010</v>
      </c>
      <c r="D98" s="6" t="n">
        <f aca="false">IF(A98&gt;Hypothèses!$B$51,0,C98*Hypothèses!$B$50/12)</f>
        <v>0</v>
      </c>
      <c r="E98" s="6" t="n">
        <f aca="false">F98-D98</f>
        <v>0</v>
      </c>
      <c r="F98" s="6" t="n">
        <f aca="false">IF(A98&gt;Hypothèses!$B$51,0,IF(A98&lt;=Hypothèses!$B$52,D98,PMT(Hypothèses!$B$50/12,Hypothèses!$B$51-Hypothèses!$B$52,-Hypothèses!$B$49)))</f>
        <v>0</v>
      </c>
      <c r="G98" s="6" t="n">
        <f aca="false">C98-E98</f>
        <v>1.00953911896795E-010</v>
      </c>
      <c r="H98" s="6" t="n">
        <f aca="false">IF(A98&gt;Hypothèses!$B$51,0,Hypothèses!$B$49*Hypothèses!$B$53/12)</f>
        <v>0</v>
      </c>
      <c r="I98" s="6" t="n">
        <f aca="false">IF(A98&gt;Hypothèses!$B$51,0,C98*Hypothèses!$B$54/12)</f>
        <v>0</v>
      </c>
    </row>
    <row r="99" customFormat="false" ht="15" hidden="false" customHeight="false" outlineLevel="0" collapsed="false">
      <c r="A99" s="4" t="n">
        <v>95</v>
      </c>
      <c r="B99" s="4" t="n">
        <f aca="false">INT((A99-1)/12)+1</f>
        <v>8</v>
      </c>
      <c r="C99" s="6" t="n">
        <f aca="false">G98</f>
        <v>1.00953911896795E-010</v>
      </c>
      <c r="D99" s="6" t="n">
        <f aca="false">IF(A99&gt;Hypothèses!$B$51,0,C99*Hypothèses!$B$50/12)</f>
        <v>0</v>
      </c>
      <c r="E99" s="6" t="n">
        <f aca="false">F99-D99</f>
        <v>0</v>
      </c>
      <c r="F99" s="6" t="n">
        <f aca="false">IF(A99&gt;Hypothèses!$B$51,0,IF(A99&lt;=Hypothèses!$B$52,D99,PMT(Hypothèses!$B$50/12,Hypothèses!$B$51-Hypothèses!$B$52,-Hypothèses!$B$49)))</f>
        <v>0</v>
      </c>
      <c r="G99" s="6" t="n">
        <f aca="false">C99-E99</f>
        <v>1.00953911896795E-010</v>
      </c>
      <c r="H99" s="6" t="n">
        <f aca="false">IF(A99&gt;Hypothèses!$B$51,0,Hypothèses!$B$49*Hypothèses!$B$53/12)</f>
        <v>0</v>
      </c>
      <c r="I99" s="6" t="n">
        <f aca="false">IF(A99&gt;Hypothèses!$B$51,0,C99*Hypothèses!$B$54/12)</f>
        <v>0</v>
      </c>
    </row>
    <row r="100" customFormat="false" ht="15" hidden="false" customHeight="false" outlineLevel="0" collapsed="false">
      <c r="A100" s="4" t="n">
        <v>96</v>
      </c>
      <c r="B100" s="4" t="n">
        <f aca="false">INT((A100-1)/12)+1</f>
        <v>8</v>
      </c>
      <c r="C100" s="6" t="n">
        <f aca="false">G99</f>
        <v>1.00953911896795E-010</v>
      </c>
      <c r="D100" s="6" t="n">
        <f aca="false">IF(A100&gt;Hypothèses!$B$51,0,C100*Hypothèses!$B$50/12)</f>
        <v>0</v>
      </c>
      <c r="E100" s="6" t="n">
        <f aca="false">F100-D100</f>
        <v>0</v>
      </c>
      <c r="F100" s="6" t="n">
        <f aca="false">IF(A100&gt;Hypothèses!$B$51,0,IF(A100&lt;=Hypothèses!$B$52,D100,PMT(Hypothèses!$B$50/12,Hypothèses!$B$51-Hypothèses!$B$52,-Hypothèses!$B$49)))</f>
        <v>0</v>
      </c>
      <c r="G100" s="6" t="n">
        <f aca="false">C100-E100</f>
        <v>1.00953911896795E-010</v>
      </c>
      <c r="H100" s="6" t="n">
        <f aca="false">IF(A100&gt;Hypothèses!$B$51,0,Hypothèses!$B$49*Hypothèses!$B$53/12)</f>
        <v>0</v>
      </c>
      <c r="I100" s="6" t="n">
        <f aca="false">IF(A100&gt;Hypothèses!$B$51,0,C100*Hypothèses!$B$54/12)</f>
        <v>0</v>
      </c>
    </row>
    <row r="101" customFormat="false" ht="15" hidden="false" customHeight="false" outlineLevel="0" collapsed="false">
      <c r="A101" s="4" t="n">
        <v>97</v>
      </c>
      <c r="B101" s="4" t="n">
        <f aca="false">INT((A101-1)/12)+1</f>
        <v>9</v>
      </c>
      <c r="C101" s="6" t="n">
        <f aca="false">G100</f>
        <v>1.00953911896795E-010</v>
      </c>
      <c r="D101" s="6" t="n">
        <f aca="false">IF(A101&gt;Hypothèses!$B$51,0,C101*Hypothèses!$B$50/12)</f>
        <v>0</v>
      </c>
      <c r="E101" s="6" t="n">
        <f aca="false">F101-D101</f>
        <v>0</v>
      </c>
      <c r="F101" s="6" t="n">
        <f aca="false">IF(A101&gt;Hypothèses!$B$51,0,IF(A101&lt;=Hypothèses!$B$52,D101,PMT(Hypothèses!$B$50/12,Hypothèses!$B$51-Hypothèses!$B$52,-Hypothèses!$B$49)))</f>
        <v>0</v>
      </c>
      <c r="G101" s="6" t="n">
        <f aca="false">C101-E101</f>
        <v>1.00953911896795E-010</v>
      </c>
      <c r="H101" s="6" t="n">
        <f aca="false">IF(A101&gt;Hypothèses!$B$51,0,Hypothèses!$B$49*Hypothèses!$B$53/12)</f>
        <v>0</v>
      </c>
      <c r="I101" s="6" t="n">
        <f aca="false">IF(A101&gt;Hypothèses!$B$51,0,C101*Hypothèses!$B$54/12)</f>
        <v>0</v>
      </c>
    </row>
    <row r="102" customFormat="false" ht="15" hidden="false" customHeight="false" outlineLevel="0" collapsed="false">
      <c r="A102" s="4" t="n">
        <v>98</v>
      </c>
      <c r="B102" s="4" t="n">
        <f aca="false">INT((A102-1)/12)+1</f>
        <v>9</v>
      </c>
      <c r="C102" s="6" t="n">
        <f aca="false">G101</f>
        <v>1.00953911896795E-010</v>
      </c>
      <c r="D102" s="6" t="n">
        <f aca="false">IF(A102&gt;Hypothèses!$B$51,0,C102*Hypothèses!$B$50/12)</f>
        <v>0</v>
      </c>
      <c r="E102" s="6" t="n">
        <f aca="false">F102-D102</f>
        <v>0</v>
      </c>
      <c r="F102" s="6" t="n">
        <f aca="false">IF(A102&gt;Hypothèses!$B$51,0,IF(A102&lt;=Hypothèses!$B$52,D102,PMT(Hypothèses!$B$50/12,Hypothèses!$B$51-Hypothèses!$B$52,-Hypothèses!$B$49)))</f>
        <v>0</v>
      </c>
      <c r="G102" s="6" t="n">
        <f aca="false">C102-E102</f>
        <v>1.00953911896795E-010</v>
      </c>
      <c r="H102" s="6" t="n">
        <f aca="false">IF(A102&gt;Hypothèses!$B$51,0,Hypothèses!$B$49*Hypothèses!$B$53/12)</f>
        <v>0</v>
      </c>
      <c r="I102" s="6" t="n">
        <f aca="false">IF(A102&gt;Hypothèses!$B$51,0,C102*Hypothèses!$B$54/12)</f>
        <v>0</v>
      </c>
    </row>
    <row r="103" customFormat="false" ht="15" hidden="false" customHeight="false" outlineLevel="0" collapsed="false">
      <c r="A103" s="4" t="n">
        <v>99</v>
      </c>
      <c r="B103" s="4" t="n">
        <f aca="false">INT((A103-1)/12)+1</f>
        <v>9</v>
      </c>
      <c r="C103" s="6" t="n">
        <f aca="false">G102</f>
        <v>1.00953911896795E-010</v>
      </c>
      <c r="D103" s="6" t="n">
        <f aca="false">IF(A103&gt;Hypothèses!$B$51,0,C103*Hypothèses!$B$50/12)</f>
        <v>0</v>
      </c>
      <c r="E103" s="6" t="n">
        <f aca="false">F103-D103</f>
        <v>0</v>
      </c>
      <c r="F103" s="6" t="n">
        <f aca="false">IF(A103&gt;Hypothèses!$B$51,0,IF(A103&lt;=Hypothèses!$B$52,D103,PMT(Hypothèses!$B$50/12,Hypothèses!$B$51-Hypothèses!$B$52,-Hypothèses!$B$49)))</f>
        <v>0</v>
      </c>
      <c r="G103" s="6" t="n">
        <f aca="false">C103-E103</f>
        <v>1.00953911896795E-010</v>
      </c>
      <c r="H103" s="6" t="n">
        <f aca="false">IF(A103&gt;Hypothèses!$B$51,0,Hypothèses!$B$49*Hypothèses!$B$53/12)</f>
        <v>0</v>
      </c>
      <c r="I103" s="6" t="n">
        <f aca="false">IF(A103&gt;Hypothèses!$B$51,0,C103*Hypothèses!$B$54/12)</f>
        <v>0</v>
      </c>
    </row>
    <row r="104" customFormat="false" ht="15" hidden="false" customHeight="false" outlineLevel="0" collapsed="false">
      <c r="A104" s="4" t="n">
        <v>100</v>
      </c>
      <c r="B104" s="4" t="n">
        <f aca="false">INT((A104-1)/12)+1</f>
        <v>9</v>
      </c>
      <c r="C104" s="6" t="n">
        <f aca="false">G103</f>
        <v>1.00953911896795E-010</v>
      </c>
      <c r="D104" s="6" t="n">
        <f aca="false">IF(A104&gt;Hypothèses!$B$51,0,C104*Hypothèses!$B$50/12)</f>
        <v>0</v>
      </c>
      <c r="E104" s="6" t="n">
        <f aca="false">F104-D104</f>
        <v>0</v>
      </c>
      <c r="F104" s="6" t="n">
        <f aca="false">IF(A104&gt;Hypothèses!$B$51,0,IF(A104&lt;=Hypothèses!$B$52,D104,PMT(Hypothèses!$B$50/12,Hypothèses!$B$51-Hypothèses!$B$52,-Hypothèses!$B$49)))</f>
        <v>0</v>
      </c>
      <c r="G104" s="6" t="n">
        <f aca="false">C104-E104</f>
        <v>1.00953911896795E-010</v>
      </c>
      <c r="H104" s="6" t="n">
        <f aca="false">IF(A104&gt;Hypothèses!$B$51,0,Hypothèses!$B$49*Hypothèses!$B$53/12)</f>
        <v>0</v>
      </c>
      <c r="I104" s="6" t="n">
        <f aca="false">IF(A104&gt;Hypothèses!$B$51,0,C104*Hypothèses!$B$54/12)</f>
        <v>0</v>
      </c>
    </row>
    <row r="105" customFormat="false" ht="15" hidden="false" customHeight="false" outlineLevel="0" collapsed="false">
      <c r="A105" s="4" t="n">
        <v>101</v>
      </c>
      <c r="B105" s="4" t="n">
        <f aca="false">INT((A105-1)/12)+1</f>
        <v>9</v>
      </c>
      <c r="C105" s="6" t="n">
        <f aca="false">G104</f>
        <v>1.00953911896795E-010</v>
      </c>
      <c r="D105" s="6" t="n">
        <f aca="false">IF(A105&gt;Hypothèses!$B$51,0,C105*Hypothèses!$B$50/12)</f>
        <v>0</v>
      </c>
      <c r="E105" s="6" t="n">
        <f aca="false">F105-D105</f>
        <v>0</v>
      </c>
      <c r="F105" s="6" t="n">
        <f aca="false">IF(A105&gt;Hypothèses!$B$51,0,IF(A105&lt;=Hypothèses!$B$52,D105,PMT(Hypothèses!$B$50/12,Hypothèses!$B$51-Hypothèses!$B$52,-Hypothèses!$B$49)))</f>
        <v>0</v>
      </c>
      <c r="G105" s="6" t="n">
        <f aca="false">C105-E105</f>
        <v>1.00953911896795E-010</v>
      </c>
      <c r="H105" s="6" t="n">
        <f aca="false">IF(A105&gt;Hypothèses!$B$51,0,Hypothèses!$B$49*Hypothèses!$B$53/12)</f>
        <v>0</v>
      </c>
      <c r="I105" s="6" t="n">
        <f aca="false">IF(A105&gt;Hypothèses!$B$51,0,C105*Hypothèses!$B$54/12)</f>
        <v>0</v>
      </c>
    </row>
    <row r="106" customFormat="false" ht="15" hidden="false" customHeight="false" outlineLevel="0" collapsed="false">
      <c r="A106" s="4" t="n">
        <v>102</v>
      </c>
      <c r="B106" s="4" t="n">
        <f aca="false">INT((A106-1)/12)+1</f>
        <v>9</v>
      </c>
      <c r="C106" s="6" t="n">
        <f aca="false">G105</f>
        <v>1.00953911896795E-010</v>
      </c>
      <c r="D106" s="6" t="n">
        <f aca="false">IF(A106&gt;Hypothèses!$B$51,0,C106*Hypothèses!$B$50/12)</f>
        <v>0</v>
      </c>
      <c r="E106" s="6" t="n">
        <f aca="false">F106-D106</f>
        <v>0</v>
      </c>
      <c r="F106" s="6" t="n">
        <f aca="false">IF(A106&gt;Hypothèses!$B$51,0,IF(A106&lt;=Hypothèses!$B$52,D106,PMT(Hypothèses!$B$50/12,Hypothèses!$B$51-Hypothèses!$B$52,-Hypothèses!$B$49)))</f>
        <v>0</v>
      </c>
      <c r="G106" s="6" t="n">
        <f aca="false">C106-E106</f>
        <v>1.00953911896795E-010</v>
      </c>
      <c r="H106" s="6" t="n">
        <f aca="false">IF(A106&gt;Hypothèses!$B$51,0,Hypothèses!$B$49*Hypothèses!$B$53/12)</f>
        <v>0</v>
      </c>
      <c r="I106" s="6" t="n">
        <f aca="false">IF(A106&gt;Hypothèses!$B$51,0,C106*Hypothèses!$B$54/12)</f>
        <v>0</v>
      </c>
    </row>
    <row r="107" customFormat="false" ht="15" hidden="false" customHeight="false" outlineLevel="0" collapsed="false">
      <c r="A107" s="4" t="n">
        <v>103</v>
      </c>
      <c r="B107" s="4" t="n">
        <f aca="false">INT((A107-1)/12)+1</f>
        <v>9</v>
      </c>
      <c r="C107" s="6" t="n">
        <f aca="false">G106</f>
        <v>1.00953911896795E-010</v>
      </c>
      <c r="D107" s="6" t="n">
        <f aca="false">IF(A107&gt;Hypothèses!$B$51,0,C107*Hypothèses!$B$50/12)</f>
        <v>0</v>
      </c>
      <c r="E107" s="6" t="n">
        <f aca="false">F107-D107</f>
        <v>0</v>
      </c>
      <c r="F107" s="6" t="n">
        <f aca="false">IF(A107&gt;Hypothèses!$B$51,0,IF(A107&lt;=Hypothèses!$B$52,D107,PMT(Hypothèses!$B$50/12,Hypothèses!$B$51-Hypothèses!$B$52,-Hypothèses!$B$49)))</f>
        <v>0</v>
      </c>
      <c r="G107" s="6" t="n">
        <f aca="false">C107-E107</f>
        <v>1.00953911896795E-010</v>
      </c>
      <c r="H107" s="6" t="n">
        <f aca="false">IF(A107&gt;Hypothèses!$B$51,0,Hypothèses!$B$49*Hypothèses!$B$53/12)</f>
        <v>0</v>
      </c>
      <c r="I107" s="6" t="n">
        <f aca="false">IF(A107&gt;Hypothèses!$B$51,0,C107*Hypothèses!$B$54/12)</f>
        <v>0</v>
      </c>
    </row>
    <row r="108" customFormat="false" ht="15" hidden="false" customHeight="false" outlineLevel="0" collapsed="false">
      <c r="A108" s="4" t="n">
        <v>104</v>
      </c>
      <c r="B108" s="4" t="n">
        <f aca="false">INT((A108-1)/12)+1</f>
        <v>9</v>
      </c>
      <c r="C108" s="6" t="n">
        <f aca="false">G107</f>
        <v>1.00953911896795E-010</v>
      </c>
      <c r="D108" s="6" t="n">
        <f aca="false">IF(A108&gt;Hypothèses!$B$51,0,C108*Hypothèses!$B$50/12)</f>
        <v>0</v>
      </c>
      <c r="E108" s="6" t="n">
        <f aca="false">F108-D108</f>
        <v>0</v>
      </c>
      <c r="F108" s="6" t="n">
        <f aca="false">IF(A108&gt;Hypothèses!$B$51,0,IF(A108&lt;=Hypothèses!$B$52,D108,PMT(Hypothèses!$B$50/12,Hypothèses!$B$51-Hypothèses!$B$52,-Hypothèses!$B$49)))</f>
        <v>0</v>
      </c>
      <c r="G108" s="6" t="n">
        <f aca="false">C108-E108</f>
        <v>1.00953911896795E-010</v>
      </c>
      <c r="H108" s="6" t="n">
        <f aca="false">IF(A108&gt;Hypothèses!$B$51,0,Hypothèses!$B$49*Hypothèses!$B$53/12)</f>
        <v>0</v>
      </c>
      <c r="I108" s="6" t="n">
        <f aca="false">IF(A108&gt;Hypothèses!$B$51,0,C108*Hypothèses!$B$54/12)</f>
        <v>0</v>
      </c>
    </row>
    <row r="109" customFormat="false" ht="15" hidden="false" customHeight="false" outlineLevel="0" collapsed="false">
      <c r="A109" s="4" t="n">
        <v>105</v>
      </c>
      <c r="B109" s="4" t="n">
        <f aca="false">INT((A109-1)/12)+1</f>
        <v>9</v>
      </c>
      <c r="C109" s="6" t="n">
        <f aca="false">G108</f>
        <v>1.00953911896795E-010</v>
      </c>
      <c r="D109" s="6" t="n">
        <f aca="false">IF(A109&gt;Hypothèses!$B$51,0,C109*Hypothèses!$B$50/12)</f>
        <v>0</v>
      </c>
      <c r="E109" s="6" t="n">
        <f aca="false">F109-D109</f>
        <v>0</v>
      </c>
      <c r="F109" s="6" t="n">
        <f aca="false">IF(A109&gt;Hypothèses!$B$51,0,IF(A109&lt;=Hypothèses!$B$52,D109,PMT(Hypothèses!$B$50/12,Hypothèses!$B$51-Hypothèses!$B$52,-Hypothèses!$B$49)))</f>
        <v>0</v>
      </c>
      <c r="G109" s="6" t="n">
        <f aca="false">C109-E109</f>
        <v>1.00953911896795E-010</v>
      </c>
      <c r="H109" s="6" t="n">
        <f aca="false">IF(A109&gt;Hypothèses!$B$51,0,Hypothèses!$B$49*Hypothèses!$B$53/12)</f>
        <v>0</v>
      </c>
      <c r="I109" s="6" t="n">
        <f aca="false">IF(A109&gt;Hypothèses!$B$51,0,C109*Hypothèses!$B$54/12)</f>
        <v>0</v>
      </c>
    </row>
    <row r="110" customFormat="false" ht="15" hidden="false" customHeight="false" outlineLevel="0" collapsed="false">
      <c r="A110" s="4" t="n">
        <v>106</v>
      </c>
      <c r="B110" s="4" t="n">
        <f aca="false">INT((A110-1)/12)+1</f>
        <v>9</v>
      </c>
      <c r="C110" s="6" t="n">
        <f aca="false">G109</f>
        <v>1.00953911896795E-010</v>
      </c>
      <c r="D110" s="6" t="n">
        <f aca="false">IF(A110&gt;Hypothèses!$B$51,0,C110*Hypothèses!$B$50/12)</f>
        <v>0</v>
      </c>
      <c r="E110" s="6" t="n">
        <f aca="false">F110-D110</f>
        <v>0</v>
      </c>
      <c r="F110" s="6" t="n">
        <f aca="false">IF(A110&gt;Hypothèses!$B$51,0,IF(A110&lt;=Hypothèses!$B$52,D110,PMT(Hypothèses!$B$50/12,Hypothèses!$B$51-Hypothèses!$B$52,-Hypothèses!$B$49)))</f>
        <v>0</v>
      </c>
      <c r="G110" s="6" t="n">
        <f aca="false">C110-E110</f>
        <v>1.00953911896795E-010</v>
      </c>
      <c r="H110" s="6" t="n">
        <f aca="false">IF(A110&gt;Hypothèses!$B$51,0,Hypothèses!$B$49*Hypothèses!$B$53/12)</f>
        <v>0</v>
      </c>
      <c r="I110" s="6" t="n">
        <f aca="false">IF(A110&gt;Hypothèses!$B$51,0,C110*Hypothèses!$B$54/12)</f>
        <v>0</v>
      </c>
    </row>
    <row r="111" customFormat="false" ht="15" hidden="false" customHeight="false" outlineLevel="0" collapsed="false">
      <c r="A111" s="4" t="n">
        <v>107</v>
      </c>
      <c r="B111" s="4" t="n">
        <f aca="false">INT((A111-1)/12)+1</f>
        <v>9</v>
      </c>
      <c r="C111" s="6" t="n">
        <f aca="false">G110</f>
        <v>1.00953911896795E-010</v>
      </c>
      <c r="D111" s="6" t="n">
        <f aca="false">IF(A111&gt;Hypothèses!$B$51,0,C111*Hypothèses!$B$50/12)</f>
        <v>0</v>
      </c>
      <c r="E111" s="6" t="n">
        <f aca="false">F111-D111</f>
        <v>0</v>
      </c>
      <c r="F111" s="6" t="n">
        <f aca="false">IF(A111&gt;Hypothèses!$B$51,0,IF(A111&lt;=Hypothèses!$B$52,D111,PMT(Hypothèses!$B$50/12,Hypothèses!$B$51-Hypothèses!$B$52,-Hypothèses!$B$49)))</f>
        <v>0</v>
      </c>
      <c r="G111" s="6" t="n">
        <f aca="false">C111-E111</f>
        <v>1.00953911896795E-010</v>
      </c>
      <c r="H111" s="6" t="n">
        <f aca="false">IF(A111&gt;Hypothèses!$B$51,0,Hypothèses!$B$49*Hypothèses!$B$53/12)</f>
        <v>0</v>
      </c>
      <c r="I111" s="6" t="n">
        <f aca="false">IF(A111&gt;Hypothèses!$B$51,0,C111*Hypothèses!$B$54/12)</f>
        <v>0</v>
      </c>
    </row>
    <row r="112" customFormat="false" ht="15" hidden="false" customHeight="false" outlineLevel="0" collapsed="false">
      <c r="A112" s="4" t="n">
        <v>108</v>
      </c>
      <c r="B112" s="4" t="n">
        <f aca="false">INT((A112-1)/12)+1</f>
        <v>9</v>
      </c>
      <c r="C112" s="6" t="n">
        <f aca="false">G111</f>
        <v>1.00953911896795E-010</v>
      </c>
      <c r="D112" s="6" t="n">
        <f aca="false">IF(A112&gt;Hypothèses!$B$51,0,C112*Hypothèses!$B$50/12)</f>
        <v>0</v>
      </c>
      <c r="E112" s="6" t="n">
        <f aca="false">F112-D112</f>
        <v>0</v>
      </c>
      <c r="F112" s="6" t="n">
        <f aca="false">IF(A112&gt;Hypothèses!$B$51,0,IF(A112&lt;=Hypothèses!$B$52,D112,PMT(Hypothèses!$B$50/12,Hypothèses!$B$51-Hypothèses!$B$52,-Hypothèses!$B$49)))</f>
        <v>0</v>
      </c>
      <c r="G112" s="6" t="n">
        <f aca="false">C112-E112</f>
        <v>1.00953911896795E-010</v>
      </c>
      <c r="H112" s="6" t="n">
        <f aca="false">IF(A112&gt;Hypothèses!$B$51,0,Hypothèses!$B$49*Hypothèses!$B$53/12)</f>
        <v>0</v>
      </c>
      <c r="I112" s="6" t="n">
        <f aca="false">IF(A112&gt;Hypothèses!$B$51,0,C112*Hypothèses!$B$54/12)</f>
        <v>0</v>
      </c>
    </row>
    <row r="113" customFormat="false" ht="15" hidden="false" customHeight="false" outlineLevel="0" collapsed="false">
      <c r="A113" s="4" t="n">
        <v>109</v>
      </c>
      <c r="B113" s="4" t="n">
        <f aca="false">INT((A113-1)/12)+1</f>
        <v>10</v>
      </c>
      <c r="C113" s="6" t="n">
        <f aca="false">G112</f>
        <v>1.00953911896795E-010</v>
      </c>
      <c r="D113" s="6" t="n">
        <f aca="false">IF(A113&gt;Hypothèses!$B$51,0,C113*Hypothèses!$B$50/12)</f>
        <v>0</v>
      </c>
      <c r="E113" s="6" t="n">
        <f aca="false">F113-D113</f>
        <v>0</v>
      </c>
      <c r="F113" s="6" t="n">
        <f aca="false">IF(A113&gt;Hypothèses!$B$51,0,IF(A113&lt;=Hypothèses!$B$52,D113,PMT(Hypothèses!$B$50/12,Hypothèses!$B$51-Hypothèses!$B$52,-Hypothèses!$B$49)))</f>
        <v>0</v>
      </c>
      <c r="G113" s="6" t="n">
        <f aca="false">C113-E113</f>
        <v>1.00953911896795E-010</v>
      </c>
      <c r="H113" s="6" t="n">
        <f aca="false">IF(A113&gt;Hypothèses!$B$51,0,Hypothèses!$B$49*Hypothèses!$B$53/12)</f>
        <v>0</v>
      </c>
      <c r="I113" s="6" t="n">
        <f aca="false">IF(A113&gt;Hypothèses!$B$51,0,C113*Hypothèses!$B$54/12)</f>
        <v>0</v>
      </c>
    </row>
    <row r="114" customFormat="false" ht="15" hidden="false" customHeight="false" outlineLevel="0" collapsed="false">
      <c r="A114" s="4" t="n">
        <v>110</v>
      </c>
      <c r="B114" s="4" t="n">
        <f aca="false">INT((A114-1)/12)+1</f>
        <v>10</v>
      </c>
      <c r="C114" s="6" t="n">
        <f aca="false">G113</f>
        <v>1.00953911896795E-010</v>
      </c>
      <c r="D114" s="6" t="n">
        <f aca="false">IF(A114&gt;Hypothèses!$B$51,0,C114*Hypothèses!$B$50/12)</f>
        <v>0</v>
      </c>
      <c r="E114" s="6" t="n">
        <f aca="false">F114-D114</f>
        <v>0</v>
      </c>
      <c r="F114" s="6" t="n">
        <f aca="false">IF(A114&gt;Hypothèses!$B$51,0,IF(A114&lt;=Hypothèses!$B$52,D114,PMT(Hypothèses!$B$50/12,Hypothèses!$B$51-Hypothèses!$B$52,-Hypothèses!$B$49)))</f>
        <v>0</v>
      </c>
      <c r="G114" s="6" t="n">
        <f aca="false">C114-E114</f>
        <v>1.00953911896795E-010</v>
      </c>
      <c r="H114" s="6" t="n">
        <f aca="false">IF(A114&gt;Hypothèses!$B$51,0,Hypothèses!$B$49*Hypothèses!$B$53/12)</f>
        <v>0</v>
      </c>
      <c r="I114" s="6" t="n">
        <f aca="false">IF(A114&gt;Hypothèses!$B$51,0,C114*Hypothèses!$B$54/12)</f>
        <v>0</v>
      </c>
    </row>
    <row r="115" customFormat="false" ht="15" hidden="false" customHeight="false" outlineLevel="0" collapsed="false">
      <c r="A115" s="4" t="n">
        <v>111</v>
      </c>
      <c r="B115" s="4" t="n">
        <f aca="false">INT((A115-1)/12)+1</f>
        <v>10</v>
      </c>
      <c r="C115" s="6" t="n">
        <f aca="false">G114</f>
        <v>1.00953911896795E-010</v>
      </c>
      <c r="D115" s="6" t="n">
        <f aca="false">IF(A115&gt;Hypothèses!$B$51,0,C115*Hypothèses!$B$50/12)</f>
        <v>0</v>
      </c>
      <c r="E115" s="6" t="n">
        <f aca="false">F115-D115</f>
        <v>0</v>
      </c>
      <c r="F115" s="6" t="n">
        <f aca="false">IF(A115&gt;Hypothèses!$B$51,0,IF(A115&lt;=Hypothèses!$B$52,D115,PMT(Hypothèses!$B$50/12,Hypothèses!$B$51-Hypothèses!$B$52,-Hypothèses!$B$49)))</f>
        <v>0</v>
      </c>
      <c r="G115" s="6" t="n">
        <f aca="false">C115-E115</f>
        <v>1.00953911896795E-010</v>
      </c>
      <c r="H115" s="6" t="n">
        <f aca="false">IF(A115&gt;Hypothèses!$B$51,0,Hypothèses!$B$49*Hypothèses!$B$53/12)</f>
        <v>0</v>
      </c>
      <c r="I115" s="6" t="n">
        <f aca="false">IF(A115&gt;Hypothèses!$B$51,0,C115*Hypothèses!$B$54/12)</f>
        <v>0</v>
      </c>
    </row>
    <row r="116" customFormat="false" ht="15" hidden="false" customHeight="false" outlineLevel="0" collapsed="false">
      <c r="A116" s="4" t="n">
        <v>112</v>
      </c>
      <c r="B116" s="4" t="n">
        <f aca="false">INT((A116-1)/12)+1</f>
        <v>10</v>
      </c>
      <c r="C116" s="6" t="n">
        <f aca="false">G115</f>
        <v>1.00953911896795E-010</v>
      </c>
      <c r="D116" s="6" t="n">
        <f aca="false">IF(A116&gt;Hypothèses!$B$51,0,C116*Hypothèses!$B$50/12)</f>
        <v>0</v>
      </c>
      <c r="E116" s="6" t="n">
        <f aca="false">F116-D116</f>
        <v>0</v>
      </c>
      <c r="F116" s="6" t="n">
        <f aca="false">IF(A116&gt;Hypothèses!$B$51,0,IF(A116&lt;=Hypothèses!$B$52,D116,PMT(Hypothèses!$B$50/12,Hypothèses!$B$51-Hypothèses!$B$52,-Hypothèses!$B$49)))</f>
        <v>0</v>
      </c>
      <c r="G116" s="6" t="n">
        <f aca="false">C116-E116</f>
        <v>1.00953911896795E-010</v>
      </c>
      <c r="H116" s="6" t="n">
        <f aca="false">IF(A116&gt;Hypothèses!$B$51,0,Hypothèses!$B$49*Hypothèses!$B$53/12)</f>
        <v>0</v>
      </c>
      <c r="I116" s="6" t="n">
        <f aca="false">IF(A116&gt;Hypothèses!$B$51,0,C116*Hypothèses!$B$54/12)</f>
        <v>0</v>
      </c>
    </row>
    <row r="117" customFormat="false" ht="15" hidden="false" customHeight="false" outlineLevel="0" collapsed="false">
      <c r="A117" s="4" t="n">
        <v>113</v>
      </c>
      <c r="B117" s="4" t="n">
        <f aca="false">INT((A117-1)/12)+1</f>
        <v>10</v>
      </c>
      <c r="C117" s="6" t="n">
        <f aca="false">G116</f>
        <v>1.00953911896795E-010</v>
      </c>
      <c r="D117" s="6" t="n">
        <f aca="false">IF(A117&gt;Hypothèses!$B$51,0,C117*Hypothèses!$B$50/12)</f>
        <v>0</v>
      </c>
      <c r="E117" s="6" t="n">
        <f aca="false">F117-D117</f>
        <v>0</v>
      </c>
      <c r="F117" s="6" t="n">
        <f aca="false">IF(A117&gt;Hypothèses!$B$51,0,IF(A117&lt;=Hypothèses!$B$52,D117,PMT(Hypothèses!$B$50/12,Hypothèses!$B$51-Hypothèses!$B$52,-Hypothèses!$B$49)))</f>
        <v>0</v>
      </c>
      <c r="G117" s="6" t="n">
        <f aca="false">C117-E117</f>
        <v>1.00953911896795E-010</v>
      </c>
      <c r="H117" s="6" t="n">
        <f aca="false">IF(A117&gt;Hypothèses!$B$51,0,Hypothèses!$B$49*Hypothèses!$B$53/12)</f>
        <v>0</v>
      </c>
      <c r="I117" s="6" t="n">
        <f aca="false">IF(A117&gt;Hypothèses!$B$51,0,C117*Hypothèses!$B$54/12)</f>
        <v>0</v>
      </c>
    </row>
    <row r="118" customFormat="false" ht="15" hidden="false" customHeight="false" outlineLevel="0" collapsed="false">
      <c r="A118" s="4" t="n">
        <v>114</v>
      </c>
      <c r="B118" s="4" t="n">
        <f aca="false">INT((A118-1)/12)+1</f>
        <v>10</v>
      </c>
      <c r="C118" s="6" t="n">
        <f aca="false">G117</f>
        <v>1.00953911896795E-010</v>
      </c>
      <c r="D118" s="6" t="n">
        <f aca="false">IF(A118&gt;Hypothèses!$B$51,0,C118*Hypothèses!$B$50/12)</f>
        <v>0</v>
      </c>
      <c r="E118" s="6" t="n">
        <f aca="false">F118-D118</f>
        <v>0</v>
      </c>
      <c r="F118" s="6" t="n">
        <f aca="false">IF(A118&gt;Hypothèses!$B$51,0,IF(A118&lt;=Hypothèses!$B$52,D118,PMT(Hypothèses!$B$50/12,Hypothèses!$B$51-Hypothèses!$B$52,-Hypothèses!$B$49)))</f>
        <v>0</v>
      </c>
      <c r="G118" s="6" t="n">
        <f aca="false">C118-E118</f>
        <v>1.00953911896795E-010</v>
      </c>
      <c r="H118" s="6" t="n">
        <f aca="false">IF(A118&gt;Hypothèses!$B$51,0,Hypothèses!$B$49*Hypothèses!$B$53/12)</f>
        <v>0</v>
      </c>
      <c r="I118" s="6" t="n">
        <f aca="false">IF(A118&gt;Hypothèses!$B$51,0,C118*Hypothèses!$B$54/12)</f>
        <v>0</v>
      </c>
    </row>
    <row r="119" customFormat="false" ht="15" hidden="false" customHeight="false" outlineLevel="0" collapsed="false">
      <c r="A119" s="4" t="n">
        <v>115</v>
      </c>
      <c r="B119" s="4" t="n">
        <f aca="false">INT((A119-1)/12)+1</f>
        <v>10</v>
      </c>
      <c r="C119" s="6" t="n">
        <f aca="false">G118</f>
        <v>1.00953911896795E-010</v>
      </c>
      <c r="D119" s="6" t="n">
        <f aca="false">IF(A119&gt;Hypothèses!$B$51,0,C119*Hypothèses!$B$50/12)</f>
        <v>0</v>
      </c>
      <c r="E119" s="6" t="n">
        <f aca="false">F119-D119</f>
        <v>0</v>
      </c>
      <c r="F119" s="6" t="n">
        <f aca="false">IF(A119&gt;Hypothèses!$B$51,0,IF(A119&lt;=Hypothèses!$B$52,D119,PMT(Hypothèses!$B$50/12,Hypothèses!$B$51-Hypothèses!$B$52,-Hypothèses!$B$49)))</f>
        <v>0</v>
      </c>
      <c r="G119" s="6" t="n">
        <f aca="false">C119-E119</f>
        <v>1.00953911896795E-010</v>
      </c>
      <c r="H119" s="6" t="n">
        <f aca="false">IF(A119&gt;Hypothèses!$B$51,0,Hypothèses!$B$49*Hypothèses!$B$53/12)</f>
        <v>0</v>
      </c>
      <c r="I119" s="6" t="n">
        <f aca="false">IF(A119&gt;Hypothèses!$B$51,0,C119*Hypothèses!$B$54/12)</f>
        <v>0</v>
      </c>
    </row>
    <row r="120" customFormat="false" ht="15" hidden="false" customHeight="false" outlineLevel="0" collapsed="false">
      <c r="A120" s="4" t="n">
        <v>116</v>
      </c>
      <c r="B120" s="4" t="n">
        <f aca="false">INT((A120-1)/12)+1</f>
        <v>10</v>
      </c>
      <c r="C120" s="6" t="n">
        <f aca="false">G119</f>
        <v>1.00953911896795E-010</v>
      </c>
      <c r="D120" s="6" t="n">
        <f aca="false">IF(A120&gt;Hypothèses!$B$51,0,C120*Hypothèses!$B$50/12)</f>
        <v>0</v>
      </c>
      <c r="E120" s="6" t="n">
        <f aca="false">F120-D120</f>
        <v>0</v>
      </c>
      <c r="F120" s="6" t="n">
        <f aca="false">IF(A120&gt;Hypothèses!$B$51,0,IF(A120&lt;=Hypothèses!$B$52,D120,PMT(Hypothèses!$B$50/12,Hypothèses!$B$51-Hypothèses!$B$52,-Hypothèses!$B$49)))</f>
        <v>0</v>
      </c>
      <c r="G120" s="6" t="n">
        <f aca="false">C120-E120</f>
        <v>1.00953911896795E-010</v>
      </c>
      <c r="H120" s="6" t="n">
        <f aca="false">IF(A120&gt;Hypothèses!$B$51,0,Hypothèses!$B$49*Hypothèses!$B$53/12)</f>
        <v>0</v>
      </c>
      <c r="I120" s="6" t="n">
        <f aca="false">IF(A120&gt;Hypothèses!$B$51,0,C120*Hypothèses!$B$54/12)</f>
        <v>0</v>
      </c>
    </row>
    <row r="121" customFormat="false" ht="15" hidden="false" customHeight="false" outlineLevel="0" collapsed="false">
      <c r="A121" s="4" t="n">
        <v>117</v>
      </c>
      <c r="B121" s="4" t="n">
        <f aca="false">INT((A121-1)/12)+1</f>
        <v>10</v>
      </c>
      <c r="C121" s="6" t="n">
        <f aca="false">G120</f>
        <v>1.00953911896795E-010</v>
      </c>
      <c r="D121" s="6" t="n">
        <f aca="false">IF(A121&gt;Hypothèses!$B$51,0,C121*Hypothèses!$B$50/12)</f>
        <v>0</v>
      </c>
      <c r="E121" s="6" t="n">
        <f aca="false">F121-D121</f>
        <v>0</v>
      </c>
      <c r="F121" s="6" t="n">
        <f aca="false">IF(A121&gt;Hypothèses!$B$51,0,IF(A121&lt;=Hypothèses!$B$52,D121,PMT(Hypothèses!$B$50/12,Hypothèses!$B$51-Hypothèses!$B$52,-Hypothèses!$B$49)))</f>
        <v>0</v>
      </c>
      <c r="G121" s="6" t="n">
        <f aca="false">C121-E121</f>
        <v>1.00953911896795E-010</v>
      </c>
      <c r="H121" s="6" t="n">
        <f aca="false">IF(A121&gt;Hypothèses!$B$51,0,Hypothèses!$B$49*Hypothèses!$B$53/12)</f>
        <v>0</v>
      </c>
      <c r="I121" s="6" t="n">
        <f aca="false">IF(A121&gt;Hypothèses!$B$51,0,C121*Hypothèses!$B$54/12)</f>
        <v>0</v>
      </c>
    </row>
    <row r="122" customFormat="false" ht="15" hidden="false" customHeight="false" outlineLevel="0" collapsed="false">
      <c r="A122" s="4" t="n">
        <v>118</v>
      </c>
      <c r="B122" s="4" t="n">
        <f aca="false">INT((A122-1)/12)+1</f>
        <v>10</v>
      </c>
      <c r="C122" s="6" t="n">
        <f aca="false">G121</f>
        <v>1.00953911896795E-010</v>
      </c>
      <c r="D122" s="6" t="n">
        <f aca="false">IF(A122&gt;Hypothèses!$B$51,0,C122*Hypothèses!$B$50/12)</f>
        <v>0</v>
      </c>
      <c r="E122" s="6" t="n">
        <f aca="false">F122-D122</f>
        <v>0</v>
      </c>
      <c r="F122" s="6" t="n">
        <f aca="false">IF(A122&gt;Hypothèses!$B$51,0,IF(A122&lt;=Hypothèses!$B$52,D122,PMT(Hypothèses!$B$50/12,Hypothèses!$B$51-Hypothèses!$B$52,-Hypothèses!$B$49)))</f>
        <v>0</v>
      </c>
      <c r="G122" s="6" t="n">
        <f aca="false">C122-E122</f>
        <v>1.00953911896795E-010</v>
      </c>
      <c r="H122" s="6" t="n">
        <f aca="false">IF(A122&gt;Hypothèses!$B$51,0,Hypothèses!$B$49*Hypothèses!$B$53/12)</f>
        <v>0</v>
      </c>
      <c r="I122" s="6" t="n">
        <f aca="false">IF(A122&gt;Hypothèses!$B$51,0,C122*Hypothèses!$B$54/12)</f>
        <v>0</v>
      </c>
    </row>
    <row r="123" customFormat="false" ht="15" hidden="false" customHeight="false" outlineLevel="0" collapsed="false">
      <c r="A123" s="4" t="n">
        <v>119</v>
      </c>
      <c r="B123" s="4" t="n">
        <f aca="false">INT((A123-1)/12)+1</f>
        <v>10</v>
      </c>
      <c r="C123" s="6" t="n">
        <f aca="false">G122</f>
        <v>1.00953911896795E-010</v>
      </c>
      <c r="D123" s="6" t="n">
        <f aca="false">IF(A123&gt;Hypothèses!$B$51,0,C123*Hypothèses!$B$50/12)</f>
        <v>0</v>
      </c>
      <c r="E123" s="6" t="n">
        <f aca="false">F123-D123</f>
        <v>0</v>
      </c>
      <c r="F123" s="6" t="n">
        <f aca="false">IF(A123&gt;Hypothèses!$B$51,0,IF(A123&lt;=Hypothèses!$B$52,D123,PMT(Hypothèses!$B$50/12,Hypothèses!$B$51-Hypothèses!$B$52,-Hypothèses!$B$49)))</f>
        <v>0</v>
      </c>
      <c r="G123" s="6" t="n">
        <f aca="false">C123-E123</f>
        <v>1.00953911896795E-010</v>
      </c>
      <c r="H123" s="6" t="n">
        <f aca="false">IF(A123&gt;Hypothèses!$B$51,0,Hypothèses!$B$49*Hypothèses!$B$53/12)</f>
        <v>0</v>
      </c>
      <c r="I123" s="6" t="n">
        <f aca="false">IF(A123&gt;Hypothèses!$B$51,0,C123*Hypothèses!$B$54/12)</f>
        <v>0</v>
      </c>
    </row>
    <row r="124" customFormat="false" ht="15" hidden="false" customHeight="false" outlineLevel="0" collapsed="false">
      <c r="A124" s="4" t="n">
        <v>120</v>
      </c>
      <c r="B124" s="4" t="n">
        <f aca="false">INT((A124-1)/12)+1</f>
        <v>10</v>
      </c>
      <c r="C124" s="6" t="n">
        <f aca="false">G123</f>
        <v>1.00953911896795E-010</v>
      </c>
      <c r="D124" s="6" t="n">
        <f aca="false">IF(A124&gt;Hypothèses!$B$51,0,C124*Hypothèses!$B$50/12)</f>
        <v>0</v>
      </c>
      <c r="E124" s="6" t="n">
        <f aca="false">F124-D124</f>
        <v>0</v>
      </c>
      <c r="F124" s="6" t="n">
        <f aca="false">IF(A124&gt;Hypothèses!$B$51,0,IF(A124&lt;=Hypothèses!$B$52,D124,PMT(Hypothèses!$B$50/12,Hypothèses!$B$51-Hypothèses!$B$52,-Hypothèses!$B$49)))</f>
        <v>0</v>
      </c>
      <c r="G124" s="6" t="n">
        <f aca="false">C124-E124</f>
        <v>1.00953911896795E-010</v>
      </c>
      <c r="H124" s="6" t="n">
        <f aca="false">IF(A124&gt;Hypothèses!$B$51,0,Hypothèses!$B$49*Hypothèses!$B$53/12)</f>
        <v>0</v>
      </c>
      <c r="I124" s="6" t="n">
        <f aca="false">IF(A124&gt;Hypothèses!$B$51,0,C124*Hypothèses!$B$54/12)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3" topLeftCell="B4" activePane="bottomRight" state="frozen"/>
      <selection pane="topLeft" activeCell="A1" activeCellId="0" sqref="A1"/>
      <selection pane="topRight" activeCell="B1" activeCellId="0" sqref="B1"/>
      <selection pane="bottomLeft" activeCell="A4" activeCellId="0" sqref="A4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0"/>
    <col collapsed="false" customWidth="true" hidden="false" outlineLevel="0" max="4" min="2" style="0" width="16"/>
  </cols>
  <sheetData>
    <row r="1" customFormat="false" ht="17.35" hidden="false" customHeight="false" outlineLevel="0" collapsed="false">
      <c r="A1" s="1" t="s">
        <v>286</v>
      </c>
    </row>
    <row r="3" customFormat="false" ht="15" hidden="false" customHeight="false" outlineLevel="0" collapsed="false">
      <c r="A3" s="2" t="s">
        <v>287</v>
      </c>
      <c r="B3" s="3" t="s">
        <v>2</v>
      </c>
      <c r="C3" s="3" t="s">
        <v>3</v>
      </c>
      <c r="D3" s="3" t="s">
        <v>4</v>
      </c>
    </row>
    <row r="4" customFormat="false" ht="15" hidden="false" customHeight="false" outlineLevel="0" collapsed="false">
      <c r="A4" s="12" t="s">
        <v>288</v>
      </c>
      <c r="B4" s="6" t="n">
        <f aca="false">Activité!B18</f>
        <v>462876</v>
      </c>
      <c r="C4" s="6" t="n">
        <f aca="false">Activité!C18</f>
        <v>602599.68</v>
      </c>
      <c r="D4" s="6" t="n">
        <f aca="false">Activité!D18</f>
        <v>678465.648</v>
      </c>
    </row>
    <row r="5" customFormat="false" ht="15" hidden="false" customHeight="false" outlineLevel="0" collapsed="false">
      <c r="A5" s="12" t="s">
        <v>289</v>
      </c>
      <c r="B5" s="6" t="n">
        <f aca="false">Activité!B19</f>
        <v>31171.2</v>
      </c>
      <c r="C5" s="6" t="n">
        <f aca="false">Activité!C19</f>
        <v>40617.216</v>
      </c>
      <c r="D5" s="6" t="n">
        <f aca="false">Activité!D19</f>
        <v>45844.1856</v>
      </c>
    </row>
    <row r="6" customFormat="false" ht="15" hidden="false" customHeight="false" outlineLevel="0" collapsed="false">
      <c r="A6" s="12" t="s">
        <v>290</v>
      </c>
      <c r="B6" s="6" t="n">
        <f aca="false">Activité!B20</f>
        <v>15585.6</v>
      </c>
      <c r="C6" s="6" t="n">
        <f aca="false">Activité!C20</f>
        <v>20308.608</v>
      </c>
      <c r="D6" s="6" t="n">
        <f aca="false">Activité!D20</f>
        <v>22922.0928</v>
      </c>
    </row>
    <row r="7" customFormat="false" ht="15" hidden="false" customHeight="false" outlineLevel="0" collapsed="false">
      <c r="A7" s="23" t="s">
        <v>6</v>
      </c>
      <c r="B7" s="30" t="n">
        <f aca="false">B4+B5+B6</f>
        <v>509632.8</v>
      </c>
      <c r="C7" s="30" t="n">
        <f aca="false">C4+C5+C6</f>
        <v>663525.504</v>
      </c>
      <c r="D7" s="30" t="n">
        <f aca="false">D4+D5+D6</f>
        <v>747231.9264</v>
      </c>
    </row>
    <row r="8" customFormat="false" ht="15" hidden="false" customHeight="false" outlineLevel="0" collapsed="false">
      <c r="A8" s="12" t="s">
        <v>291</v>
      </c>
      <c r="B8" s="6" t="n">
        <f aca="false">Activité!B24</f>
        <v>23378.4</v>
      </c>
      <c r="C8" s="6" t="n">
        <f aca="false">Activité!C24</f>
        <v>30462.912</v>
      </c>
      <c r="D8" s="6" t="n">
        <f aca="false">Activité!D24</f>
        <v>34383.1392</v>
      </c>
    </row>
    <row r="9" customFormat="false" ht="15" hidden="false" customHeight="false" outlineLevel="0" collapsed="false">
      <c r="A9" s="23" t="s">
        <v>292</v>
      </c>
      <c r="B9" s="30" t="n">
        <f aca="false">B7-B8</f>
        <v>486254.4</v>
      </c>
      <c r="C9" s="30" t="n">
        <f aca="false">C7-C8</f>
        <v>633062.592</v>
      </c>
      <c r="D9" s="30" t="n">
        <f aca="false">D7-D8</f>
        <v>712848.7872</v>
      </c>
    </row>
    <row r="10" customFormat="false" ht="15" hidden="false" customHeight="false" outlineLevel="0" collapsed="false">
      <c r="A10" s="12" t="s">
        <v>293</v>
      </c>
      <c r="B10" s="6" t="n">
        <f aca="false">(Hypothèses!$B$58*Hypothèses!$B$59)*(1+Hypothèses!$B$75)^0</f>
        <v>195000</v>
      </c>
      <c r="C10" s="6" t="n">
        <f aca="false">(Hypothèses!$B$58*Hypothèses!$B$59)*(1+Hypothèses!$B$75)^1</f>
        <v>198900</v>
      </c>
      <c r="D10" s="6" t="n">
        <f aca="false">(Hypothèses!$B$58*Hypothèses!$B$59)*(1+Hypothèses!$B$75)^2</f>
        <v>202878</v>
      </c>
    </row>
    <row r="11" customFormat="false" ht="15" hidden="false" customHeight="false" outlineLevel="0" collapsed="false">
      <c r="A11" s="12" t="s">
        <v>294</v>
      </c>
      <c r="B11" s="6" t="n">
        <f aca="false">(Hypothèses!$B$58*Hypothèses!$B$60)*(1+Hypothèses!$B$75)^0</f>
        <v>39000</v>
      </c>
      <c r="C11" s="6" t="n">
        <f aca="false">(Hypothèses!$B$58*Hypothèses!$B$60)*(1+Hypothèses!$B$75)^1</f>
        <v>39780</v>
      </c>
      <c r="D11" s="6" t="n">
        <f aca="false">(Hypothèses!$B$58*Hypothèses!$B$60)*(1+Hypothèses!$B$75)^2</f>
        <v>40575.6</v>
      </c>
    </row>
    <row r="12" customFormat="false" ht="15" hidden="false" customHeight="false" outlineLevel="0" collapsed="false">
      <c r="A12" s="12" t="s">
        <v>295</v>
      </c>
      <c r="B12" s="6" t="n">
        <f aca="false">Activité!B25*Hypothèses!$B$61*Hypothèses!$B$62*(1+Hypothèses!$B$75)^0</f>
        <v>3834.0576</v>
      </c>
      <c r="C12" s="6" t="n">
        <f aca="false">Activité!C25*Hypothèses!$B$61*Hypothèses!$B$62*(1+Hypothèses!$B$75)^1</f>
        <v>4995.917568</v>
      </c>
      <c r="D12" s="6" t="n">
        <f aca="false">Activité!D25*Hypothèses!$B$61*Hypothèses!$B$62*(1+Hypothèses!$B$75)^2</f>
        <v>5638.8348288</v>
      </c>
    </row>
    <row r="13" customFormat="false" ht="15" hidden="false" customHeight="false" outlineLevel="0" collapsed="false">
      <c r="A13" s="12" t="s">
        <v>296</v>
      </c>
      <c r="B13" s="6" t="n">
        <f aca="false">Hypothèses!$B$63*(1+Hypothèses!$B$75)^0</f>
        <v>30000</v>
      </c>
      <c r="C13" s="6" t="n">
        <f aca="false">Hypothèses!$B$63*(1+Hypothèses!$B$75)^1</f>
        <v>30600</v>
      </c>
      <c r="D13" s="6" t="n">
        <f aca="false">Hypothèses!$B$63*(1+Hypothèses!$B$75)^2</f>
        <v>31212</v>
      </c>
    </row>
    <row r="14" customFormat="false" ht="15" hidden="false" customHeight="false" outlineLevel="0" collapsed="false">
      <c r="A14" s="12" t="s">
        <v>297</v>
      </c>
      <c r="B14" s="6" t="n">
        <f aca="false">B4*Hypothèses!$B$64+Hypothèses!$B$65*(1+Hypothèses!$B$75)^0</f>
        <v>2148</v>
      </c>
      <c r="C14" s="6" t="n">
        <f aca="false">C4*Hypothèses!$B$64+Hypothèses!$B$65*(1+Hypothèses!$B$75)^1</f>
        <v>2190.96</v>
      </c>
      <c r="D14" s="6" t="n">
        <f aca="false">D4*Hypothèses!$B$64+Hypothèses!$B$65*(1+Hypothèses!$B$75)^2</f>
        <v>2234.7792</v>
      </c>
    </row>
    <row r="15" customFormat="false" ht="15" hidden="false" customHeight="false" outlineLevel="0" collapsed="false">
      <c r="A15" s="12" t="s">
        <v>298</v>
      </c>
      <c r="B15" s="6" t="n">
        <f aca="false">B7*(1+Hypothèses!$B$13)*Hypothèses!$B$66</f>
        <v>21404.5776</v>
      </c>
      <c r="C15" s="6" t="n">
        <f aca="false">C7*(1+Hypothèses!$B$13)*Hypothèses!$B$66</f>
        <v>27868.071168</v>
      </c>
      <c r="D15" s="6" t="n">
        <f aca="false">D7*(1+Hypothèses!$B$13)*Hypothèses!$B$66</f>
        <v>31383.7409088</v>
      </c>
    </row>
    <row r="16" customFormat="false" ht="15" hidden="false" customHeight="false" outlineLevel="0" collapsed="false">
      <c r="A16" s="12" t="s">
        <v>299</v>
      </c>
      <c r="B16" s="6" t="n">
        <f aca="false">Hypothèses!$B$67*(1+Hypothèses!$B$75)^0</f>
        <v>9000</v>
      </c>
      <c r="C16" s="6" t="n">
        <f aca="false">Hypothèses!$B$67*(1+Hypothèses!$B$75)^1</f>
        <v>9180</v>
      </c>
      <c r="D16" s="6" t="n">
        <f aca="false">Hypothèses!$B$67*(1+Hypothèses!$B$75)^2</f>
        <v>9363.6</v>
      </c>
    </row>
    <row r="17" customFormat="false" ht="15" hidden="false" customHeight="false" outlineLevel="0" collapsed="false">
      <c r="A17" s="12" t="s">
        <v>300</v>
      </c>
      <c r="B17" s="6" t="n">
        <f aca="false">Hypothèses!$B$68*(1+Hypothèses!$B$75)^0</f>
        <v>6500</v>
      </c>
      <c r="C17" s="6" t="n">
        <f aca="false">Hypothèses!$B$68*(1+Hypothèses!$B$75)^1</f>
        <v>6630</v>
      </c>
      <c r="D17" s="6" t="n">
        <f aca="false">Hypothèses!$B$68*(1+Hypothèses!$B$75)^2</f>
        <v>6762.6</v>
      </c>
    </row>
    <row r="18" customFormat="false" ht="15" hidden="false" customHeight="false" outlineLevel="0" collapsed="false">
      <c r="A18" s="12" t="s">
        <v>301</v>
      </c>
      <c r="B18" s="6" t="n">
        <f aca="false">Hypothèses!$B$69*(1+Hypothèses!$B$75)^0</f>
        <v>18000</v>
      </c>
      <c r="C18" s="6" t="n">
        <f aca="false">Hypothèses!$B$69*(1+Hypothèses!$B$75)^1</f>
        <v>18360</v>
      </c>
      <c r="D18" s="6" t="n">
        <f aca="false">Hypothèses!$B$69*(1+Hypothèses!$B$75)^2</f>
        <v>18727.2</v>
      </c>
    </row>
    <row r="19" customFormat="false" ht="15" hidden="false" customHeight="false" outlineLevel="0" collapsed="false">
      <c r="A19" s="12" t="s">
        <v>302</v>
      </c>
      <c r="B19" s="6" t="n">
        <f aca="false">Hypothèses!$B$70*(1+Hypothèses!$B$75)^0</f>
        <v>10000</v>
      </c>
      <c r="C19" s="6" t="n">
        <f aca="false">Hypothèses!$B$70*(1+Hypothèses!$B$75)^1</f>
        <v>10200</v>
      </c>
      <c r="D19" s="6" t="n">
        <f aca="false">Hypothèses!$B$70*(1+Hypothèses!$B$75)^2</f>
        <v>10404</v>
      </c>
    </row>
    <row r="20" customFormat="false" ht="15" hidden="false" customHeight="false" outlineLevel="0" collapsed="false">
      <c r="A20" s="12" t="s">
        <v>303</v>
      </c>
      <c r="B20" s="6" t="n">
        <f aca="false">Hypothèses!$B$71*(1+Hypothèses!$B$75)^0</f>
        <v>3600</v>
      </c>
      <c r="C20" s="6" t="n">
        <f aca="false">Hypothèses!$B$71*(1+Hypothèses!$B$75)^1</f>
        <v>3672</v>
      </c>
      <c r="D20" s="6" t="n">
        <f aca="false">Hypothèses!$B$71*(1+Hypothèses!$B$75)^2</f>
        <v>3745.44</v>
      </c>
    </row>
    <row r="21" customFormat="false" ht="15" hidden="false" customHeight="false" outlineLevel="0" collapsed="false">
      <c r="A21" s="12" t="s">
        <v>304</v>
      </c>
      <c r="B21" s="6" t="n">
        <f aca="false">Hypothèses!$B$72*(1+Hypothèses!$B$75)^0</f>
        <v>10000</v>
      </c>
      <c r="C21" s="6" t="n">
        <f aca="false">Hypothèses!$B$72*(1+Hypothèses!$B$75)^1</f>
        <v>10200</v>
      </c>
      <c r="D21" s="6" t="n">
        <f aca="false">Hypothèses!$B$72*(1+Hypothèses!$B$75)^2</f>
        <v>10404</v>
      </c>
    </row>
    <row r="22" customFormat="false" ht="15" hidden="false" customHeight="false" outlineLevel="0" collapsed="false">
      <c r="A22" s="12" t="s">
        <v>305</v>
      </c>
      <c r="B22" s="6" t="n">
        <f aca="false">Hypothèses!$B$73*(1+Hypothèses!$B$75)^0</f>
        <v>1800</v>
      </c>
      <c r="C22" s="6" t="n">
        <f aca="false">Hypothèses!$B$73*(1+Hypothèses!$B$75)^1</f>
        <v>1836</v>
      </c>
      <c r="D22" s="6" t="n">
        <f aca="false">Hypothèses!$B$73*(1+Hypothèses!$B$75)^2</f>
        <v>1872.72</v>
      </c>
    </row>
    <row r="23" customFormat="false" ht="15" hidden="false" customHeight="false" outlineLevel="0" collapsed="false">
      <c r="A23" s="12" t="s">
        <v>306</v>
      </c>
      <c r="B23" s="6" t="n">
        <f aca="false">Hypothèses!$B$74*(1+Hypothèses!$B$75)^0</f>
        <v>6000</v>
      </c>
      <c r="C23" s="6" t="n">
        <f aca="false">Hypothèses!$B$74*(1+Hypothèses!$B$75)^1</f>
        <v>6120</v>
      </c>
      <c r="D23" s="6" t="n">
        <f aca="false">Hypothèses!$B$74*(1+Hypothèses!$B$75)^2</f>
        <v>6242.4</v>
      </c>
    </row>
    <row r="24" customFormat="false" ht="15" hidden="false" customHeight="false" outlineLevel="0" collapsed="false">
      <c r="A24" s="23" t="s">
        <v>307</v>
      </c>
      <c r="B24" s="30" t="n">
        <f aca="false">SUM(B10:B23)</f>
        <v>356286.6352</v>
      </c>
      <c r="C24" s="30" t="n">
        <f aca="false">SUM(C10:C23)</f>
        <v>370532.948736</v>
      </c>
      <c r="D24" s="30" t="n">
        <f aca="false">SUM(D10:D23)</f>
        <v>381444.9149376</v>
      </c>
    </row>
    <row r="25" customFormat="false" ht="15" hidden="false" customHeight="false" outlineLevel="0" collapsed="false">
      <c r="A25" s="23" t="s">
        <v>308</v>
      </c>
      <c r="B25" s="30" t="n">
        <f aca="false">B9-B24</f>
        <v>129967.7648</v>
      </c>
      <c r="C25" s="30" t="n">
        <f aca="false">C9-C24</f>
        <v>262529.643264</v>
      </c>
      <c r="D25" s="30" t="n">
        <f aca="false">D9-D24</f>
        <v>331403.8722624</v>
      </c>
    </row>
    <row r="26" customFormat="false" ht="15" hidden="false" customHeight="false" outlineLevel="0" collapsed="false">
      <c r="A26" s="12" t="s">
        <v>309</v>
      </c>
      <c r="B26" s="6" t="n">
        <f aca="false">Hypothèses!$B$76</f>
        <v>0</v>
      </c>
      <c r="C26" s="6" t="n">
        <f aca="false">Hypothèses!$B$77*(1+Hypothèses!$B$75)^0</f>
        <v>4000</v>
      </c>
      <c r="D26" s="6" t="n">
        <f aca="false">Hypothèses!$B$77*(1+Hypothèses!$B$75)^1</f>
        <v>4080</v>
      </c>
    </row>
    <row r="27" customFormat="false" ht="15" hidden="false" customHeight="false" outlineLevel="0" collapsed="false">
      <c r="A27" s="12" t="s">
        <v>310</v>
      </c>
      <c r="B27" s="6" t="n">
        <f aca="false">(Hypothèses!$B$79+Hypothèses!$B$80)*(1+Hypothèses!$B$82)^0</f>
        <v>35992</v>
      </c>
      <c r="C27" s="6" t="n">
        <f aca="false">(Hypothèses!$B$79+Hypothèses!$B$80)*(1+Hypothèses!$B$82)^1</f>
        <v>36711.84</v>
      </c>
      <c r="D27" s="6" t="n">
        <f aca="false">(Hypothèses!$B$79+Hypothèses!$B$80)*(1+Hypothèses!$B$82)^2</f>
        <v>37446.0768</v>
      </c>
    </row>
    <row r="28" customFormat="false" ht="15" hidden="false" customHeight="false" outlineLevel="0" collapsed="false">
      <c r="A28" s="12" t="s">
        <v>311</v>
      </c>
      <c r="B28" s="6" t="n">
        <f aca="false">B27*Hypothèses!$B$81</f>
        <v>10077.76</v>
      </c>
      <c r="C28" s="6" t="n">
        <f aca="false">C27*Hypothèses!$B$81</f>
        <v>10279.3152</v>
      </c>
      <c r="D28" s="6" t="n">
        <f aca="false">D27*Hypothèses!$B$81</f>
        <v>10484.901504</v>
      </c>
    </row>
    <row r="29" customFormat="false" ht="15" hidden="false" customHeight="false" outlineLevel="0" collapsed="false">
      <c r="A29" s="12" t="s">
        <v>312</v>
      </c>
      <c r="B29" s="6" t="n">
        <f aca="false">Hypothèses!$B$83</f>
        <v>21600</v>
      </c>
      <c r="C29" s="6" t="n">
        <f aca="false">Hypothèses!$B$84</f>
        <v>26400</v>
      </c>
      <c r="D29" s="6" t="n">
        <f aca="false">Hypothèses!$B$85</f>
        <v>30000</v>
      </c>
    </row>
    <row r="30" customFormat="false" ht="15" hidden="false" customHeight="false" outlineLevel="0" collapsed="false">
      <c r="A30" s="12" t="s">
        <v>313</v>
      </c>
      <c r="B30" s="6" t="n">
        <f aca="false">B29*Hypothèses!$B$87</f>
        <v>17280</v>
      </c>
      <c r="C30" s="6" t="n">
        <f aca="false">C29*Hypothèses!$B$87</f>
        <v>21120</v>
      </c>
      <c r="D30" s="6" t="n">
        <f aca="false">D29*Hypothèses!$B$87</f>
        <v>24000</v>
      </c>
    </row>
    <row r="31" customFormat="false" ht="15" hidden="false" customHeight="false" outlineLevel="0" collapsed="false">
      <c r="A31" s="23" t="s">
        <v>314</v>
      </c>
      <c r="B31" s="30" t="n">
        <f aca="false">B25-B26-B27-B28-B29-B30</f>
        <v>45018.0048</v>
      </c>
      <c r="C31" s="30" t="n">
        <f aca="false">C25-C26-C27-C28-C29-C30</f>
        <v>164018.488064</v>
      </c>
      <c r="D31" s="30" t="n">
        <f aca="false">D25-D26-D27-D28-D29-D30</f>
        <v>225392.8939584</v>
      </c>
    </row>
    <row r="32" customFormat="false" ht="15" hidden="false" customHeight="false" outlineLevel="0" collapsed="false">
      <c r="A32" s="12" t="s">
        <v>315</v>
      </c>
      <c r="B32" s="6" t="n">
        <f aca="false">IF(1&lt;=Hypothèses!$B$89,(Financement!$B$4+Financement!$B$5)/Hypothèses!$B$89,0)</f>
        <v>35000</v>
      </c>
      <c r="C32" s="6" t="n">
        <f aca="false">IF(2&lt;=Hypothèses!$B$89,(Financement!$B$4+Financement!$B$5)/Hypothèses!$B$89,0)</f>
        <v>35000</v>
      </c>
      <c r="D32" s="6" t="n">
        <f aca="false">IF(3&lt;=Hypothèses!$B$89,(Financement!$B$4+Financement!$B$5)/Hypothèses!$B$89,0)</f>
        <v>35000</v>
      </c>
    </row>
    <row r="33" customFormat="false" ht="15" hidden="false" customHeight="false" outlineLevel="0" collapsed="false">
      <c r="A33" s="12" t="s">
        <v>316</v>
      </c>
      <c r="B33" s="6" t="n">
        <f aca="false">IF(1&lt;=Hypothèses!$B$90,(Financement!$B$6+Financement!$B$7)/Hypothèses!$B$90,0)</f>
        <v>21666.6666666667</v>
      </c>
      <c r="C33" s="6" t="n">
        <f aca="false">IF(2&lt;=Hypothèses!$B$90,(Financement!$B$6+Financement!$B$7)/Hypothèses!$B$90,0)</f>
        <v>21666.6666666667</v>
      </c>
      <c r="D33" s="6" t="n">
        <f aca="false">IF(3&lt;=Hypothèses!$B$90,(Financement!$B$6+Financement!$B$7)/Hypothèses!$B$90,0)</f>
        <v>21666.6666666667</v>
      </c>
    </row>
    <row r="34" customFormat="false" ht="15" hidden="false" customHeight="false" outlineLevel="0" collapsed="false">
      <c r="A34" s="12" t="s">
        <v>317</v>
      </c>
      <c r="B34" s="6" t="n">
        <f aca="false">IF(1&lt;=Hypothèses!$B$91,(Financement!$B$8+Financement!$B$9)/Hypothèses!$B$91,0)</f>
        <v>8100</v>
      </c>
      <c r="C34" s="6" t="n">
        <f aca="false">IF(2&lt;=Hypothèses!$B$91,(Financement!$B$8+Financement!$B$9)/Hypothèses!$B$91,0)</f>
        <v>8100</v>
      </c>
      <c r="D34" s="6" t="n">
        <f aca="false">IF(3&lt;=Hypothèses!$B$91,(Financement!$B$8+Financement!$B$9)/Hypothèses!$B$91,0)</f>
        <v>8100</v>
      </c>
    </row>
    <row r="35" customFormat="false" ht="15" hidden="false" customHeight="false" outlineLevel="0" collapsed="false">
      <c r="A35" s="12" t="s">
        <v>318</v>
      </c>
      <c r="B35" s="6" t="n">
        <f aca="false">IF(1&lt;=Hypothèses!$B$92,(Financement!$B$10+Financement!$B$11+Financement!$B$12+Financement!$B$13+Financement!$B$14)/Hypothèses!$B$92,0)</f>
        <v>11750</v>
      </c>
      <c r="C35" s="6" t="n">
        <f aca="false">IF(2&lt;=Hypothèses!$B$92,(Financement!$B$10+Financement!$B$11+Financement!$B$12+Financement!$B$13+Financement!$B$14)/Hypothèses!$B$92,0)</f>
        <v>11750</v>
      </c>
      <c r="D35" s="6" t="n">
        <f aca="false">IF(3&lt;=Hypothèses!$B$92,(Financement!$B$10+Financement!$B$11+Financement!$B$12+Financement!$B$13+Financement!$B$14)/Hypothèses!$B$92,0)</f>
        <v>11750</v>
      </c>
    </row>
    <row r="36" customFormat="false" ht="15" hidden="false" customHeight="false" outlineLevel="0" collapsed="false">
      <c r="A36" s="12" t="s">
        <v>319</v>
      </c>
      <c r="B36" s="6" t="n">
        <f aca="false">0</f>
        <v>0</v>
      </c>
      <c r="C36" s="6" t="n">
        <f aca="false">C7*Hypothèses!$B$93/Hypothèses!$B$91</f>
        <v>1990.576512</v>
      </c>
      <c r="D36" s="6" t="n">
        <f aca="false">C7*Hypothèses!$B$93/Hypothèses!$B$91+D7*Hypothèses!$B$93/Hypothèses!$B$91</f>
        <v>4232.2722912</v>
      </c>
    </row>
    <row r="37" customFormat="false" ht="15" hidden="false" customHeight="false" outlineLevel="0" collapsed="false">
      <c r="A37" s="23" t="s">
        <v>320</v>
      </c>
      <c r="B37" s="30" t="n">
        <f aca="false">SUM(B32:B36)</f>
        <v>76516.6666666667</v>
      </c>
      <c r="C37" s="30" t="n">
        <f aca="false">SUM(C32:C36)</f>
        <v>78507.2431786667</v>
      </c>
      <c r="D37" s="30" t="n">
        <f aca="false">SUM(D32:D36)</f>
        <v>80748.9389578667</v>
      </c>
    </row>
    <row r="38" customFormat="false" ht="15" hidden="false" customHeight="false" outlineLevel="0" collapsed="false">
      <c r="A38" s="23" t="s">
        <v>321</v>
      </c>
      <c r="B38" s="30" t="n">
        <f aca="false">B31-B37</f>
        <v>-31498.6618666667</v>
      </c>
      <c r="C38" s="30" t="n">
        <f aca="false">C31-C37</f>
        <v>85511.2448853334</v>
      </c>
      <c r="D38" s="30" t="n">
        <f aca="false">D31-D37</f>
        <v>144643.955000533</v>
      </c>
    </row>
    <row r="39" customFormat="false" ht="15" hidden="false" customHeight="false" outlineLevel="0" collapsed="false">
      <c r="A39" s="12" t="s">
        <v>322</v>
      </c>
      <c r="B39" s="6" t="n">
        <f aca="false">SUMIF(Prêt!$B$5:$B$124,1,Prêt!$D$5:$D$124)+Financement!$B$26*Hypothèses!$B$56*Hypothèses!$B$43/12</f>
        <v>21576.6666666667</v>
      </c>
      <c r="C39" s="6" t="n">
        <f aca="false">SUMIF(Prêt!$B$5:$B$124,2,Prêt!$D$5:$D$124)</f>
        <v>19238.5046152723</v>
      </c>
      <c r="D39" s="6" t="n">
        <f aca="false">SUMIF(Prêt!$B$5:$B$124,3,Prêt!$D$5:$D$124)</f>
        <v>16095.3477919145</v>
      </c>
    </row>
    <row r="40" customFormat="false" ht="15" hidden="false" customHeight="false" outlineLevel="0" collapsed="false">
      <c r="A40" s="12" t="s">
        <v>323</v>
      </c>
      <c r="B40" s="6" t="n">
        <f aca="false">SUMIF(Prêt!$B$5:$B$124,1,Prêt!$H$5:$H$124)</f>
        <v>1440</v>
      </c>
      <c r="C40" s="6" t="n">
        <f aca="false">SUMIF(Prêt!$B$5:$B$124,2,Prêt!$H$5:$H$124)</f>
        <v>1440</v>
      </c>
      <c r="D40" s="6" t="n">
        <f aca="false">SUMIF(Prêt!$B$5:$B$124,3,Prêt!$H$5:$H$124)</f>
        <v>1440</v>
      </c>
    </row>
    <row r="41" customFormat="false" ht="15" hidden="false" customHeight="false" outlineLevel="0" collapsed="false">
      <c r="A41" s="12" t="s">
        <v>285</v>
      </c>
      <c r="B41" s="6" t="n">
        <f aca="false">SUMIF(Prêt!$B$5:$B$124,1,Prêt!$I$5:$I$124)</f>
        <v>3840</v>
      </c>
      <c r="C41" s="6" t="n">
        <f aca="false">SUMIF(Prêt!$B$5:$B$124,2,Prêt!$I$5:$I$124)</f>
        <v>3579.2566726088</v>
      </c>
      <c r="D41" s="6" t="n">
        <f aca="false">SUMIF(Prêt!$B$5:$B$124,3,Prêt!$I$5:$I$124)</f>
        <v>2994.48331012364</v>
      </c>
    </row>
    <row r="42" customFormat="false" ht="15" hidden="false" customHeight="false" outlineLevel="0" collapsed="false">
      <c r="A42" s="23" t="s">
        <v>324</v>
      </c>
      <c r="B42" s="30" t="n">
        <f aca="false">B38-B39-B40-B41</f>
        <v>-58355.3285333333</v>
      </c>
      <c r="C42" s="30" t="n">
        <f aca="false">C38-C39-C40-C41</f>
        <v>61253.4835974523</v>
      </c>
      <c r="D42" s="30" t="n">
        <f aca="false">D38-D39-D40-D41</f>
        <v>124114.123898495</v>
      </c>
    </row>
    <row r="43" customFormat="false" ht="15" hidden="false" customHeight="false" outlineLevel="0" collapsed="false">
      <c r="A43" s="12" t="s">
        <v>193</v>
      </c>
      <c r="B43" s="6" t="n">
        <f aca="false">IF(B42&lt;=0,0,MIN(B42,Hypothèses!$B$96)*Hypothèses!$B$95+MAX(0,B42-Hypothèses!$B$96)*Hypothèses!$B$97)</f>
        <v>0</v>
      </c>
      <c r="C43" s="6" t="n">
        <f aca="false">IF(C42&lt;=0,0,MIN(C42,Hypothèses!$B$96)*Hypothèses!$B$95+MAX(0,C42-Hypothèses!$B$96)*Hypothèses!$B$97)</f>
        <v>11063.3708993631</v>
      </c>
      <c r="D43" s="6" t="n">
        <f aca="false">IF(D42&lt;=0,0,MIN(D42,Hypothèses!$B$96)*Hypothèses!$B$95+MAX(0,D42-Hypothèses!$B$96)*Hypothèses!$B$97)</f>
        <v>26778.5309746238</v>
      </c>
    </row>
    <row r="44" customFormat="false" ht="15" hidden="false" customHeight="false" outlineLevel="0" collapsed="false">
      <c r="A44" s="23" t="s">
        <v>8</v>
      </c>
      <c r="B44" s="30" t="n">
        <f aca="false">B42-B43</f>
        <v>-58355.3285333333</v>
      </c>
      <c r="C44" s="30" t="n">
        <f aca="false">C42-C43</f>
        <v>50190.1126980892</v>
      </c>
      <c r="D44" s="30" t="n">
        <f aca="false">D42-D43</f>
        <v>97335.5929238714</v>
      </c>
    </row>
    <row r="46" customFormat="false" ht="15" hidden="false" customHeight="false" outlineLevel="0" collapsed="false">
      <c r="A46" s="23" t="s">
        <v>325</v>
      </c>
      <c r="B46" s="30" t="n">
        <f aca="false">B44+B37</f>
        <v>18161.3381333333</v>
      </c>
      <c r="C46" s="30" t="n">
        <f aca="false">C44+C37</f>
        <v>128697.355876756</v>
      </c>
      <c r="D46" s="30" t="n">
        <f aca="false">D44+D37</f>
        <v>178084.531881738</v>
      </c>
    </row>
    <row r="47" customFormat="false" ht="15" hidden="false" customHeight="false" outlineLevel="0" collapsed="false">
      <c r="A47" s="12" t="s">
        <v>326</v>
      </c>
      <c r="B47" s="6" t="n">
        <f aca="false">SUMIF(Prêt!$B$5:$B$124,1,Prêt!$E$5:$E$124)</f>
        <v>0</v>
      </c>
      <c r="C47" s="6" t="n">
        <f aca="false">SUMIF(Prêt!$B$5:$B$124,2,Prêt!$E$5:$E$124)</f>
        <v>71667.2211932725</v>
      </c>
      <c r="D47" s="6" t="n">
        <f aca="false">SUMIF(Prêt!$B$5:$B$124,3,Prêt!$E$5:$E$124)</f>
        <v>74810.3780166303</v>
      </c>
    </row>
    <row r="48" customFormat="false" ht="15" hidden="false" customHeight="false" outlineLevel="0" collapsed="false">
      <c r="A48" s="12" t="s">
        <v>327</v>
      </c>
      <c r="B48" s="6" t="n">
        <f aca="false">B47+B39+B40+B41</f>
        <v>26856.6666666667</v>
      </c>
      <c r="C48" s="6" t="n">
        <f aca="false">C47+C39+C40+C41</f>
        <v>95924.9824811536</v>
      </c>
      <c r="D48" s="6" t="n">
        <f aca="false">D47+D39+D40+D41</f>
        <v>95340.2091186685</v>
      </c>
    </row>
    <row r="49" customFormat="false" ht="15" hidden="false" customHeight="false" outlineLevel="0" collapsed="false">
      <c r="A49" s="23" t="s">
        <v>328</v>
      </c>
      <c r="B49" s="30" t="n">
        <f aca="false">B46-B47</f>
        <v>18161.3381333333</v>
      </c>
      <c r="C49" s="30" t="n">
        <f aca="false">C46-C47</f>
        <v>57030.1346834834</v>
      </c>
      <c r="D49" s="30" t="n">
        <f aca="false">D46-D47</f>
        <v>103274.153865108</v>
      </c>
    </row>
    <row r="51" customFormat="false" ht="15" hidden="false" customHeight="false" outlineLevel="0" collapsed="false">
      <c r="A51" s="23" t="s">
        <v>329</v>
      </c>
      <c r="B51" s="31" t="n">
        <f aca="false">IFERROR((B31-B43)/B48,0)</f>
        <v>1.67623202680899</v>
      </c>
      <c r="C51" s="31" t="n">
        <f aca="false">IFERROR((C31-C43)/C48,0)</f>
        <v>1.59452848682759</v>
      </c>
      <c r="D51" s="31" t="n">
        <f aca="false">IFERROR((D31-D43)/D48,0)</f>
        <v>2.08321719471544</v>
      </c>
    </row>
    <row r="52" customFormat="false" ht="15" hidden="false" customHeight="false" outlineLevel="0" collapsed="false">
      <c r="A52" s="12" t="s">
        <v>330</v>
      </c>
      <c r="B52" s="7" t="n">
        <f aca="false">IFERROR(((B31-MAX(0,Hypothèses!$B$86-B29)*(1+Hypothèses!$B$87))-B43)/B48,0)</f>
        <v>0.711108531711556</v>
      </c>
      <c r="C52" s="7" t="n">
        <f aca="false">IFERROR(((C31-MAX(0,Hypothèses!$B$86-C29)*(1+Hypothèses!$B$87))-C43)/C48,0)</f>
        <v>1.41438771897918</v>
      </c>
      <c r="D52" s="7" t="n">
        <f aca="false">IFERROR(((D31-MAX(0,Hypothèses!$B$86-D29)*(1+Hypothèses!$B$87))-D43)/D48,0)</f>
        <v>1.96993865148761</v>
      </c>
    </row>
    <row r="53" customFormat="false" ht="15" hidden="false" customHeight="false" outlineLevel="0" collapsed="false">
      <c r="A53" s="12" t="s">
        <v>331</v>
      </c>
      <c r="B53" s="7" t="n">
        <f aca="false">IFERROR(B46/B47,0)</f>
        <v>0</v>
      </c>
      <c r="C53" s="7" t="n">
        <f aca="false">IFERROR(C46/C47,0)</f>
        <v>1.79576316388331</v>
      </c>
      <c r="D53" s="7" t="n">
        <f aca="false">IFERROR(D46/D47,0)</f>
        <v>2.3804789736813</v>
      </c>
    </row>
    <row r="54" customFormat="false" ht="15" hidden="false" customHeight="false" outlineLevel="0" collapsed="false">
      <c r="A54" s="12" t="s">
        <v>332</v>
      </c>
      <c r="B54" s="5" t="n">
        <f aca="false">IFERROR(B48/B31,0)</f>
        <v>0.596576120731736</v>
      </c>
      <c r="C54" s="5" t="n">
        <f aca="false">IFERROR(C48/C31,0)</f>
        <v>0.584842499241449</v>
      </c>
      <c r="D54" s="5" t="n">
        <f aca="false">IFERROR(D48/D31,0)</f>
        <v>0.422995629739175</v>
      </c>
    </row>
    <row r="55" customFormat="false" ht="15" hidden="false" customHeight="false" outlineLevel="0" collapsed="false">
      <c r="A55" s="12" t="s">
        <v>333</v>
      </c>
      <c r="B55" s="32" t="n">
        <f aca="false">IFERROR(INDEX(Prêt!$G$5:$G$124,12)/B46,0)</f>
        <v>26.4297705640427</v>
      </c>
      <c r="C55" s="32" t="n">
        <f aca="false">IFERROR(INDEX(Prêt!$G$5:$G$124,24)/C46,0)</f>
        <v>3.17281404909172</v>
      </c>
      <c r="D55" s="32" t="n">
        <f aca="false">IFERROR(INDEX(Prêt!$G$5:$G$124,36)/D46,0)</f>
        <v>1.87283194820975</v>
      </c>
    </row>
    <row r="56" customFormat="false" ht="15" hidden="false" customHeight="false" outlineLevel="0" collapsed="false">
      <c r="A56" s="12" t="s">
        <v>334</v>
      </c>
      <c r="B56" s="7" t="n">
        <f aca="false">IFERROR(Bilan!C19/(Bilan!C17+Bilan!C18),0)</f>
        <v>2.71731944142214</v>
      </c>
      <c r="C56" s="7" t="n">
        <f aca="false">IFERROR(Bilan!D19/(Bilan!D17+Bilan!D18),0)</f>
        <v>1.80013299243446</v>
      </c>
      <c r="D56" s="7" t="n">
        <f aca="false">IFERROR(Bilan!E19/(Bilan!E17+Bilan!E18),0)</f>
        <v>1.02884910023384</v>
      </c>
    </row>
    <row r="58" customFormat="false" ht="15" hidden="false" customHeight="false" outlineLevel="0" collapsed="false">
      <c r="A58" s="12" t="s">
        <v>335</v>
      </c>
      <c r="B58" s="5" t="n">
        <f aca="false">IFERROR(B9/B7,0)</f>
        <v>0.954126971419422</v>
      </c>
      <c r="C58" s="5" t="n">
        <f aca="false">IFERROR(C9/C7,0)</f>
        <v>0.954089312594079</v>
      </c>
      <c r="D58" s="5" t="n">
        <f aca="false">IFERROR(D9/D7,0)</f>
        <v>0.953985987502367</v>
      </c>
    </row>
    <row r="59" customFormat="false" ht="15" hidden="false" customHeight="false" outlineLevel="0" collapsed="false">
      <c r="A59" s="12" t="s">
        <v>336</v>
      </c>
      <c r="B59" s="5" t="n">
        <f aca="false">IFERROR(B24/B7,0)</f>
        <v>0.699104600802774</v>
      </c>
      <c r="C59" s="5" t="n">
        <f aca="false">IFERROR(C24/C7,0)</f>
        <v>0.558430605157266</v>
      </c>
      <c r="D59" s="5" t="n">
        <f aca="false">IFERROR(D24/D7,0)</f>
        <v>0.51047727146151</v>
      </c>
    </row>
    <row r="60" customFormat="false" ht="15" hidden="false" customHeight="false" outlineLevel="0" collapsed="false">
      <c r="A60" s="12" t="s">
        <v>337</v>
      </c>
      <c r="B60" s="5" t="n">
        <f aca="false">IFERROR((B10+B11)/B7,0)</f>
        <v>0.459154120378437</v>
      </c>
      <c r="C60" s="5" t="n">
        <f aca="false">IFERROR((C10+C11)/C7,0)</f>
        <v>0.359714884448511</v>
      </c>
      <c r="D60" s="5" t="n">
        <f aca="false">IFERROR((D10+D11)/D7,0)</f>
        <v>0.325807278033349</v>
      </c>
    </row>
    <row r="61" customFormat="false" ht="15" hidden="false" customHeight="false" outlineLevel="0" collapsed="false">
      <c r="A61" s="12" t="s">
        <v>338</v>
      </c>
      <c r="B61" s="5" t="n">
        <f aca="false">IFERROR((B27+B28+B29+B30)/B7,0)</f>
        <v>0.166688172346835</v>
      </c>
      <c r="C61" s="5" t="n">
        <f aca="false">IFERROR((C27+C28+C29+C30)/C7,0)</f>
        <v>0.14243786354895</v>
      </c>
      <c r="D61" s="5" t="n">
        <f aca="false">IFERROR((D27+D28+D29+D30)/D7,0)</f>
        <v>0.136411433589409</v>
      </c>
    </row>
    <row r="62" customFormat="false" ht="15" hidden="false" customHeight="false" outlineLevel="0" collapsed="false">
      <c r="A62" s="12" t="s">
        <v>339</v>
      </c>
      <c r="B62" s="5" t="n">
        <f aca="false">IFERROR(B31/B7,0)</f>
        <v>0.0883341982698131</v>
      </c>
      <c r="C62" s="5" t="n">
        <f aca="false">IFERROR(C31/C7,0)</f>
        <v>0.247192439590084</v>
      </c>
      <c r="D62" s="5" t="n">
        <f aca="false">IFERROR(D31/D7,0)</f>
        <v>0.301637130314136</v>
      </c>
    </row>
    <row r="63" customFormat="false" ht="15" hidden="false" customHeight="false" outlineLevel="0" collapsed="false">
      <c r="A63" s="12" t="s">
        <v>340</v>
      </c>
      <c r="B63" s="5" t="n">
        <f aca="false">IFERROR(B44/B7,0)</f>
        <v>-0.114504656162895</v>
      </c>
      <c r="C63" s="5" t="n">
        <f aca="false">IFERROR(C44/C7,0)</f>
        <v>0.0756415727738013</v>
      </c>
      <c r="D63" s="5" t="n">
        <f aca="false">IFERROR(D44/D7,0)</f>
        <v>0.130261555328361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O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15" min="2" style="0" width="12"/>
  </cols>
  <sheetData>
    <row r="1" customFormat="false" ht="17.35" hidden="false" customHeight="false" outlineLevel="0" collapsed="false">
      <c r="A1" s="1" t="s">
        <v>341</v>
      </c>
    </row>
    <row r="2" customFormat="false" ht="15" hidden="false" customHeight="false" outlineLevel="0" collapsed="false">
      <c r="A2" s="14" t="s">
        <v>342</v>
      </c>
    </row>
    <row r="4" customFormat="false" ht="15" hidden="false" customHeight="false" outlineLevel="0" collapsed="false">
      <c r="A4" s="2" t="s">
        <v>343</v>
      </c>
      <c r="B4" s="3" t="s">
        <v>344</v>
      </c>
      <c r="C4" s="3" t="s">
        <v>209</v>
      </c>
      <c r="D4" s="3" t="s">
        <v>211</v>
      </c>
      <c r="E4" s="3" t="s">
        <v>212</v>
      </c>
      <c r="F4" s="3" t="s">
        <v>213</v>
      </c>
      <c r="G4" s="3" t="s">
        <v>214</v>
      </c>
      <c r="H4" s="3" t="s">
        <v>215</v>
      </c>
      <c r="I4" s="3" t="s">
        <v>216</v>
      </c>
      <c r="J4" s="3" t="s">
        <v>217</v>
      </c>
      <c r="K4" s="3" t="s">
        <v>218</v>
      </c>
      <c r="L4" s="3" t="s">
        <v>219</v>
      </c>
      <c r="M4" s="3" t="s">
        <v>220</v>
      </c>
      <c r="N4" s="3" t="s">
        <v>221</v>
      </c>
      <c r="O4" s="3" t="s">
        <v>345</v>
      </c>
    </row>
    <row r="5" customFormat="false" ht="15" hidden="false" customHeight="false" outlineLevel="0" collapsed="false">
      <c r="A5" s="23" t="s">
        <v>346</v>
      </c>
      <c r="B5" s="6" t="n">
        <f aca="false">0</f>
        <v>0</v>
      </c>
      <c r="C5" s="6" t="n">
        <f aca="false">B23</f>
        <v>86000</v>
      </c>
      <c r="D5" s="6" t="n">
        <f aca="false">C23</f>
        <v>44334.465888</v>
      </c>
      <c r="E5" s="6" t="n">
        <f aca="false">D23</f>
        <v>57397.5015813333</v>
      </c>
      <c r="F5" s="6" t="n">
        <f aca="false">E23</f>
        <v>76007.3615893334</v>
      </c>
      <c r="G5" s="6" t="n">
        <f aca="false">F23</f>
        <v>43562.1427733333</v>
      </c>
      <c r="H5" s="6" t="n">
        <f aca="false">G23</f>
        <v>65860.1288997334</v>
      </c>
      <c r="I5" s="6" t="n">
        <f aca="false">H23</f>
        <v>88158.1150261334</v>
      </c>
      <c r="J5" s="6" t="n">
        <f aca="false">I23</f>
        <v>64011.1799765334</v>
      </c>
      <c r="K5" s="6" t="n">
        <f aca="false">J23</f>
        <v>86770.1818677334</v>
      </c>
      <c r="L5" s="6" t="n">
        <f aca="false">K23</f>
        <v>107685.120699733</v>
      </c>
      <c r="M5" s="6" t="n">
        <f aca="false">L23</f>
        <v>78005.9964725333</v>
      </c>
      <c r="N5" s="6" t="n">
        <f aca="false">M23</f>
        <v>92466.7145973333</v>
      </c>
    </row>
    <row r="6" customFormat="false" ht="15" hidden="false" customHeight="false" outlineLevel="0" collapsed="false">
      <c r="A6" s="12" t="s">
        <v>347</v>
      </c>
      <c r="B6" s="6" t="n">
        <f aca="false">0</f>
        <v>0</v>
      </c>
      <c r="C6" s="6" t="n">
        <f aca="false">'Compte de résultat'!$B$7*Hypothèses!$B$105</f>
        <v>30577.968</v>
      </c>
      <c r="D6" s="6" t="n">
        <f aca="false">'Compte de résultat'!$B$7*Hypothèses!$B$106</f>
        <v>38222.46</v>
      </c>
      <c r="E6" s="6" t="n">
        <f aca="false">'Compte de résultat'!$B$7*Hypothèses!$B$107</f>
        <v>43318.788</v>
      </c>
      <c r="F6" s="6" t="n">
        <f aca="false">'Compte de résultat'!$B$7*Hypothèses!$B$108</f>
        <v>40770.624</v>
      </c>
      <c r="G6" s="6" t="n">
        <f aca="false">'Compte de résultat'!$B$7*Hypothèses!$B$109</f>
        <v>47395.8504</v>
      </c>
      <c r="H6" s="6" t="n">
        <f aca="false">'Compte de résultat'!$B$7*Hypothèses!$B$110</f>
        <v>47395.8504</v>
      </c>
      <c r="I6" s="6" t="n">
        <f aca="false">'Compte de résultat'!$B$7*Hypothèses!$B$111</f>
        <v>49944.0144</v>
      </c>
      <c r="J6" s="6" t="n">
        <f aca="false">'Compte de résultat'!$B$7*Hypothèses!$B$112</f>
        <v>47905.4832</v>
      </c>
      <c r="K6" s="6" t="n">
        <f aca="false">'Compte de résultat'!$B$7*Hypothèses!$B$113</f>
        <v>45866.952</v>
      </c>
      <c r="L6" s="6" t="n">
        <f aca="false">'Compte de résultat'!$B$7*Hypothèses!$B$114</f>
        <v>43828.4208</v>
      </c>
      <c r="M6" s="6" t="n">
        <f aca="false">'Compte de résultat'!$B$7*Hypothèses!$B$115</f>
        <v>38732.0928</v>
      </c>
      <c r="N6" s="6" t="n">
        <f aca="false">'Compte de résultat'!$B$7*Hypothèses!$B$116</f>
        <v>35674.296</v>
      </c>
      <c r="O6" s="28" t="n">
        <f aca="false">SUM(B6:N6)</f>
        <v>509632.8</v>
      </c>
    </row>
    <row r="7" customFormat="false" ht="15" hidden="false" customHeight="false" outlineLevel="0" collapsed="false">
      <c r="A7" s="12" t="s">
        <v>348</v>
      </c>
      <c r="B7" s="6" t="n">
        <f aca="false">Financement!$B$22+Financement!$B$23</f>
        <v>210000</v>
      </c>
      <c r="C7" s="6" t="n">
        <f aca="false">0</f>
        <v>0</v>
      </c>
      <c r="D7" s="6" t="n">
        <f aca="false">0</f>
        <v>0</v>
      </c>
      <c r="E7" s="6" t="n">
        <f aca="false">0</f>
        <v>0</v>
      </c>
      <c r="F7" s="6" t="n">
        <f aca="false">0</f>
        <v>0</v>
      </c>
      <c r="G7" s="6" t="n">
        <f aca="false">0</f>
        <v>0</v>
      </c>
      <c r="H7" s="6" t="n">
        <f aca="false">0</f>
        <v>0</v>
      </c>
      <c r="I7" s="6" t="n">
        <f aca="false">0</f>
        <v>0</v>
      </c>
      <c r="J7" s="6" t="n">
        <f aca="false">0</f>
        <v>0</v>
      </c>
      <c r="K7" s="6" t="n">
        <f aca="false">0</f>
        <v>0</v>
      </c>
      <c r="L7" s="6" t="n">
        <f aca="false">0</f>
        <v>0</v>
      </c>
      <c r="M7" s="6" t="n">
        <f aca="false">0</f>
        <v>0</v>
      </c>
      <c r="N7" s="6" t="n">
        <f aca="false">0</f>
        <v>0</v>
      </c>
      <c r="O7" s="28" t="n">
        <f aca="false">SUM(B7:N7)</f>
        <v>210000</v>
      </c>
    </row>
    <row r="8" customFormat="false" ht="15" hidden="false" customHeight="false" outlineLevel="0" collapsed="false">
      <c r="A8" s="12" t="s">
        <v>349</v>
      </c>
      <c r="B8" s="6" t="n">
        <f aca="false">Financement!$B$24</f>
        <v>25000</v>
      </c>
      <c r="C8" s="6" t="n">
        <f aca="false">0</f>
        <v>0</v>
      </c>
      <c r="D8" s="6" t="n">
        <f aca="false">0</f>
        <v>0</v>
      </c>
      <c r="E8" s="6" t="n">
        <f aca="false">0</f>
        <v>0</v>
      </c>
      <c r="F8" s="6" t="n">
        <f aca="false">0</f>
        <v>0</v>
      </c>
      <c r="G8" s="6" t="n">
        <f aca="false">0</f>
        <v>0</v>
      </c>
      <c r="H8" s="6" t="n">
        <f aca="false">0</f>
        <v>0</v>
      </c>
      <c r="I8" s="6" t="n">
        <f aca="false">0</f>
        <v>0</v>
      </c>
      <c r="J8" s="6" t="n">
        <f aca="false">0</f>
        <v>0</v>
      </c>
      <c r="K8" s="6" t="n">
        <f aca="false">0</f>
        <v>0</v>
      </c>
      <c r="L8" s="6" t="n">
        <f aca="false">0</f>
        <v>0</v>
      </c>
      <c r="M8" s="6" t="n">
        <f aca="false">0</f>
        <v>0</v>
      </c>
      <c r="N8" s="6" t="n">
        <f aca="false">0</f>
        <v>0</v>
      </c>
      <c r="O8" s="28" t="n">
        <f aca="false">SUM(B8:N8)</f>
        <v>25000</v>
      </c>
    </row>
    <row r="9" customFormat="false" ht="15" hidden="false" customHeight="false" outlineLevel="0" collapsed="false">
      <c r="A9" s="12" t="s">
        <v>350</v>
      </c>
      <c r="B9" s="6" t="n">
        <f aca="false">Financement!$B$25+Financement!$B$26</f>
        <v>592400</v>
      </c>
      <c r="C9" s="6" t="n">
        <f aca="false">0</f>
        <v>0</v>
      </c>
      <c r="D9" s="6" t="n">
        <f aca="false">0</f>
        <v>0</v>
      </c>
      <c r="E9" s="6" t="n">
        <f aca="false">0</f>
        <v>0</v>
      </c>
      <c r="F9" s="6" t="n">
        <f aca="false">0</f>
        <v>0</v>
      </c>
      <c r="G9" s="6" t="n">
        <f aca="false">0</f>
        <v>0</v>
      </c>
      <c r="H9" s="6" t="n">
        <f aca="false">0</f>
        <v>0</v>
      </c>
      <c r="I9" s="6" t="n">
        <f aca="false">0</f>
        <v>0</v>
      </c>
      <c r="J9" s="6" t="n">
        <f aca="false">0</f>
        <v>0</v>
      </c>
      <c r="K9" s="6" t="n">
        <f aca="false">0</f>
        <v>0</v>
      </c>
      <c r="L9" s="6" t="n">
        <f aca="false">0</f>
        <v>0</v>
      </c>
      <c r="M9" s="6" t="n">
        <f aca="false">0</f>
        <v>0</v>
      </c>
      <c r="N9" s="6" t="n">
        <f aca="false">0</f>
        <v>0</v>
      </c>
      <c r="O9" s="28" t="n">
        <f aca="false">SUM(B9:N9)</f>
        <v>592400</v>
      </c>
    </row>
    <row r="10" customFormat="false" ht="15" hidden="false" customHeight="false" outlineLevel="0" collapsed="false">
      <c r="A10" s="12" t="s">
        <v>351</v>
      </c>
      <c r="B10" s="6" t="n">
        <f aca="false">0</f>
        <v>0</v>
      </c>
      <c r="C10" s="6" t="n">
        <f aca="false">IF(1=Hypothèses!$B$43,Financement!$B$17,0)</f>
        <v>0</v>
      </c>
      <c r="D10" s="6" t="n">
        <f aca="false">IF(2=Hypothèses!$B$43,Financement!$B$17,0)</f>
        <v>112400</v>
      </c>
      <c r="E10" s="6" t="n">
        <f aca="false">IF(3=Hypothèses!$B$43,Financement!$B$17,0)</f>
        <v>0</v>
      </c>
      <c r="F10" s="6" t="n">
        <f aca="false">IF(4=Hypothèses!$B$43,Financement!$B$17,0)</f>
        <v>0</v>
      </c>
      <c r="G10" s="6" t="n">
        <f aca="false">IF(5=Hypothèses!$B$43,Financement!$B$17,0)</f>
        <v>0</v>
      </c>
      <c r="H10" s="6" t="n">
        <f aca="false">IF(6=Hypothèses!$B$43,Financement!$B$17,0)</f>
        <v>0</v>
      </c>
      <c r="I10" s="6" t="n">
        <f aca="false">IF(7=Hypothèses!$B$43,Financement!$B$17,0)</f>
        <v>0</v>
      </c>
      <c r="J10" s="6" t="n">
        <f aca="false">IF(8=Hypothèses!$B$43,Financement!$B$17,0)</f>
        <v>0</v>
      </c>
      <c r="K10" s="6" t="n">
        <f aca="false">IF(9=Hypothèses!$B$43,Financement!$B$17,0)</f>
        <v>0</v>
      </c>
      <c r="L10" s="6" t="n">
        <f aca="false">IF(10=Hypothèses!$B$43,Financement!$B$17,0)</f>
        <v>0</v>
      </c>
      <c r="M10" s="6" t="n">
        <f aca="false">IF(11=Hypothèses!$B$43,Financement!$B$17,0)</f>
        <v>0</v>
      </c>
      <c r="N10" s="6" t="n">
        <f aca="false">IF(12=Hypothèses!$B$43,Financement!$B$17,0)</f>
        <v>0</v>
      </c>
      <c r="O10" s="28" t="n">
        <f aca="false">SUM(B10:N10)</f>
        <v>112400</v>
      </c>
    </row>
    <row r="11" customFormat="false" ht="15" hidden="false" customHeight="false" outlineLevel="0" collapsed="false">
      <c r="A11" s="23" t="s">
        <v>352</v>
      </c>
      <c r="B11" s="30" t="n">
        <f aca="false">SUM(B6:B10)</f>
        <v>827400</v>
      </c>
      <c r="C11" s="30" t="n">
        <f aca="false">SUM(C6:C10)</f>
        <v>30577.968</v>
      </c>
      <c r="D11" s="30" t="n">
        <f aca="false">SUM(D6:D10)</f>
        <v>150622.46</v>
      </c>
      <c r="E11" s="30" t="n">
        <f aca="false">SUM(E6:E10)</f>
        <v>43318.788</v>
      </c>
      <c r="F11" s="30" t="n">
        <f aca="false">SUM(F6:F10)</f>
        <v>40770.624</v>
      </c>
      <c r="G11" s="30" t="n">
        <f aca="false">SUM(G6:G10)</f>
        <v>47395.8504</v>
      </c>
      <c r="H11" s="30" t="n">
        <f aca="false">SUM(H6:H10)</f>
        <v>47395.8504</v>
      </c>
      <c r="I11" s="30" t="n">
        <f aca="false">SUM(I6:I10)</f>
        <v>49944.0144</v>
      </c>
      <c r="J11" s="30" t="n">
        <f aca="false">SUM(J6:J10)</f>
        <v>47905.4832</v>
      </c>
      <c r="K11" s="30" t="n">
        <f aca="false">SUM(K6:K10)</f>
        <v>45866.952</v>
      </c>
      <c r="L11" s="30" t="n">
        <f aca="false">SUM(L6:L10)</f>
        <v>43828.4208</v>
      </c>
      <c r="M11" s="30" t="n">
        <f aca="false">SUM(M6:M10)</f>
        <v>38732.0928</v>
      </c>
      <c r="N11" s="30" t="n">
        <f aca="false">SUM(N6:N10)</f>
        <v>35674.296</v>
      </c>
      <c r="O11" s="28" t="n">
        <f aca="false">SUM(B11:N11)</f>
        <v>1449432.8</v>
      </c>
    </row>
    <row r="12" customFormat="false" ht="15" hidden="false" customHeight="false" outlineLevel="0" collapsed="false">
      <c r="A12" s="12" t="s">
        <v>353</v>
      </c>
      <c r="B12" s="6" t="n">
        <f aca="false">Financement!$B$4+Financement!$B$5+Financement!$B$6+Financement!$B$7+Financement!$B$8+Financement!$B$9+Financement!$B$10+Financement!$B$11+Financement!$B$12+Financement!$B$13+Financement!$B$14+Financement!$B$15+Financement!$B$16</f>
        <v>629000</v>
      </c>
      <c r="C12" s="6" t="n">
        <f aca="false">0</f>
        <v>0</v>
      </c>
      <c r="D12" s="6" t="n">
        <f aca="false">0</f>
        <v>0</v>
      </c>
      <c r="E12" s="6" t="n">
        <f aca="false">0</f>
        <v>0</v>
      </c>
      <c r="F12" s="6" t="n">
        <f aca="false">0</f>
        <v>0</v>
      </c>
      <c r="G12" s="6" t="n">
        <f aca="false">0</f>
        <v>0</v>
      </c>
      <c r="H12" s="6" t="n">
        <f aca="false">0</f>
        <v>0</v>
      </c>
      <c r="I12" s="6" t="n">
        <f aca="false">0</f>
        <v>0</v>
      </c>
      <c r="J12" s="6" t="n">
        <f aca="false">0</f>
        <v>0</v>
      </c>
      <c r="K12" s="6" t="n">
        <f aca="false">0</f>
        <v>0</v>
      </c>
      <c r="L12" s="6" t="n">
        <f aca="false">0</f>
        <v>0</v>
      </c>
      <c r="M12" s="6" t="n">
        <f aca="false">0</f>
        <v>0</v>
      </c>
      <c r="N12" s="6" t="n">
        <f aca="false">0</f>
        <v>0</v>
      </c>
      <c r="O12" s="28" t="n">
        <f aca="false">SUM(B12:N12)</f>
        <v>629000</v>
      </c>
    </row>
    <row r="13" customFormat="false" ht="15" hidden="false" customHeight="false" outlineLevel="0" collapsed="false">
      <c r="A13" s="12" t="s">
        <v>354</v>
      </c>
      <c r="B13" s="6" t="n">
        <f aca="false">Financement!$B$17</f>
        <v>112400</v>
      </c>
      <c r="C13" s="6" t="n">
        <f aca="false">IF(1=Hypothèses!$B$43,Financement!$B$26*(1+Hypothèses!$B$56*Hypothèses!$B$43/12),0)</f>
        <v>0</v>
      </c>
      <c r="D13" s="6" t="n">
        <f aca="false">IF(2=Hypothèses!$B$43,Financement!$B$26*(1+Hypothèses!$B$56*Hypothèses!$B$43/12),0)</f>
        <v>113336.666666667</v>
      </c>
      <c r="E13" s="6" t="n">
        <f aca="false">IF(3=Hypothèses!$B$43,Financement!$B$26*(1+Hypothèses!$B$56*Hypothèses!$B$43/12),0)</f>
        <v>0</v>
      </c>
      <c r="F13" s="6" t="n">
        <f aca="false">IF(4=Hypothèses!$B$43,Financement!$B$26*(1+Hypothèses!$B$56*Hypothèses!$B$43/12),0)</f>
        <v>0</v>
      </c>
      <c r="G13" s="6" t="n">
        <f aca="false">IF(5=Hypothèses!$B$43,Financement!$B$26*(1+Hypothèses!$B$56*Hypothèses!$B$43/12),0)</f>
        <v>0</v>
      </c>
      <c r="H13" s="6" t="n">
        <f aca="false">IF(6=Hypothèses!$B$43,Financement!$B$26*(1+Hypothèses!$B$56*Hypothèses!$B$43/12),0)</f>
        <v>0</v>
      </c>
      <c r="I13" s="6" t="n">
        <f aca="false">IF(7=Hypothèses!$B$43,Financement!$B$26*(1+Hypothèses!$B$56*Hypothèses!$B$43/12),0)</f>
        <v>0</v>
      </c>
      <c r="J13" s="6" t="n">
        <f aca="false">IF(8=Hypothèses!$B$43,Financement!$B$26*(1+Hypothèses!$B$56*Hypothèses!$B$43/12),0)</f>
        <v>0</v>
      </c>
      <c r="K13" s="6" t="n">
        <f aca="false">IF(9=Hypothèses!$B$43,Financement!$B$26*(1+Hypothèses!$B$56*Hypothèses!$B$43/12),0)</f>
        <v>0</v>
      </c>
      <c r="L13" s="6" t="n">
        <f aca="false">IF(10=Hypothèses!$B$43,Financement!$B$26*(1+Hypothèses!$B$56*Hypothèses!$B$43/12),0)</f>
        <v>0</v>
      </c>
      <c r="M13" s="6" t="n">
        <f aca="false">IF(11=Hypothèses!$B$43,Financement!$B$26*(1+Hypothèses!$B$56*Hypothèses!$B$43/12),0)</f>
        <v>0</v>
      </c>
      <c r="N13" s="6" t="n">
        <f aca="false">IF(12=Hypothèses!$B$43,Financement!$B$26*(1+Hypothèses!$B$56*Hypothèses!$B$43/12),0)</f>
        <v>0</v>
      </c>
      <c r="O13" s="28" t="n">
        <f aca="false">SUM(B13:N13)</f>
        <v>225736.666666667</v>
      </c>
    </row>
    <row r="14" customFormat="false" ht="15" hidden="false" customHeight="false" outlineLevel="0" collapsed="false">
      <c r="A14" s="12" t="s">
        <v>355</v>
      </c>
      <c r="B14" s="6" t="n">
        <f aca="false">0</f>
        <v>0</v>
      </c>
      <c r="C14" s="6" t="n">
        <f aca="false">'Compte de résultat'!$B$8*Hypothèses!$B$105</f>
        <v>1402.704</v>
      </c>
      <c r="D14" s="6" t="n">
        <f aca="false">'Compte de résultat'!$B$8*Hypothèses!$B$106</f>
        <v>1753.38</v>
      </c>
      <c r="E14" s="6" t="n">
        <f aca="false">'Compte de résultat'!$B$8*Hypothèses!$B$107</f>
        <v>1987.164</v>
      </c>
      <c r="F14" s="6" t="n">
        <f aca="false">'Compte de résultat'!$B$8*Hypothèses!$B$108</f>
        <v>1870.272</v>
      </c>
      <c r="G14" s="6" t="n">
        <f aca="false">'Compte de résultat'!$B$8*Hypothèses!$B$109</f>
        <v>2174.1912</v>
      </c>
      <c r="H14" s="6" t="n">
        <f aca="false">'Compte de résultat'!$B$8*Hypothèses!$B$110</f>
        <v>2174.1912</v>
      </c>
      <c r="I14" s="6" t="n">
        <f aca="false">'Compte de résultat'!$B$8*Hypothèses!$B$111</f>
        <v>2291.0832</v>
      </c>
      <c r="J14" s="6" t="n">
        <f aca="false">'Compte de résultat'!$B$8*Hypothèses!$B$112</f>
        <v>2197.5696</v>
      </c>
      <c r="K14" s="6" t="n">
        <f aca="false">'Compte de résultat'!$B$8*Hypothèses!$B$113</f>
        <v>2104.056</v>
      </c>
      <c r="L14" s="6" t="n">
        <f aca="false">'Compte de résultat'!$B$8*Hypothèses!$B$114</f>
        <v>2010.5424</v>
      </c>
      <c r="M14" s="6" t="n">
        <f aca="false">'Compte de résultat'!$B$8*Hypothèses!$B$115</f>
        <v>1776.7584</v>
      </c>
      <c r="N14" s="6" t="n">
        <f aca="false">'Compte de résultat'!$B$8*Hypothèses!$B$116</f>
        <v>1636.488</v>
      </c>
      <c r="O14" s="28" t="n">
        <f aca="false">SUM(B14:N14)</f>
        <v>23378.4</v>
      </c>
    </row>
    <row r="15" customFormat="false" ht="15" hidden="false" customHeight="false" outlineLevel="0" collapsed="false">
      <c r="A15" s="12" t="s">
        <v>356</v>
      </c>
      <c r="B15" s="6" t="n">
        <f aca="false">0</f>
        <v>0</v>
      </c>
      <c r="C15" s="6" t="n">
        <f aca="false">'Compte de résultat'!$B$10/4</f>
        <v>48750</v>
      </c>
      <c r="D15" s="6" t="n">
        <f aca="false">0</f>
        <v>0</v>
      </c>
      <c r="E15" s="6" t="n">
        <f aca="false">0</f>
        <v>0</v>
      </c>
      <c r="F15" s="6" t="n">
        <f aca="false">'Compte de résultat'!$B$10/4</f>
        <v>48750</v>
      </c>
      <c r="G15" s="6" t="n">
        <f aca="false">0</f>
        <v>0</v>
      </c>
      <c r="H15" s="6" t="n">
        <f aca="false">0</f>
        <v>0</v>
      </c>
      <c r="I15" s="6" t="n">
        <f aca="false">'Compte de résultat'!$B$10/4</f>
        <v>48750</v>
      </c>
      <c r="J15" s="6" t="n">
        <f aca="false">0</f>
        <v>0</v>
      </c>
      <c r="K15" s="6" t="n">
        <f aca="false">0</f>
        <v>0</v>
      </c>
      <c r="L15" s="6" t="n">
        <f aca="false">'Compte de résultat'!$B$10/4</f>
        <v>48750</v>
      </c>
      <c r="M15" s="6" t="n">
        <f aca="false">0</f>
        <v>0</v>
      </c>
      <c r="N15" s="6" t="n">
        <f aca="false">0</f>
        <v>0</v>
      </c>
      <c r="O15" s="28" t="n">
        <f aca="false">SUM(B15:N15)</f>
        <v>195000</v>
      </c>
    </row>
    <row r="16" customFormat="false" ht="15" hidden="false" customHeight="false" outlineLevel="0" collapsed="false">
      <c r="A16" s="12" t="s">
        <v>357</v>
      </c>
      <c r="B16" s="6" t="n">
        <f aca="false">0</f>
        <v>0</v>
      </c>
      <c r="C16" s="6" t="n">
        <f aca="false">('Compte de résultat'!$B$24-('Compte de résultat'!$B$12+'Compte de résultat'!$B$14-Hypothèses!$B$65+'Compte de résultat'!$B$15)-'Compte de résultat'!$B$10)/12+('Compte de résultat'!$B$12+'Compte de résultat'!$B$14-Hypothèses!$B$65+'Compte de résultat'!$B$15)*Hypothèses!$B$105</f>
        <v>12851.6514453333</v>
      </c>
      <c r="D16" s="6" t="n">
        <f aca="false">('Compte de résultat'!$B$24-('Compte de résultat'!$B$12+'Compte de résultat'!$B$14-Hypothèses!$B$65+'Compte de résultat'!$B$15)-'Compte de résultat'!$B$10)/12+('Compte de résultat'!$B$12+'Compte de résultat'!$B$14-Hypothèses!$B$65+'Compte de résultat'!$B$15)*Hypothèses!$B$106</f>
        <v>13230.2309733333</v>
      </c>
      <c r="E16" s="6" t="n">
        <f aca="false">('Compte de résultat'!$B$24-('Compte de résultat'!$B$12+'Compte de résultat'!$B$14-Hypothèses!$B$65+'Compte de résultat'!$B$15)-'Compte de résultat'!$B$10)/12+('Compte de résultat'!$B$12+'Compte de résultat'!$B$14-Hypothèses!$B$65+'Compte de résultat'!$B$15)*Hypothèses!$B$107</f>
        <v>13482.6173253333</v>
      </c>
      <c r="F16" s="6" t="n">
        <f aca="false">('Compte de résultat'!$B$24-('Compte de résultat'!$B$12+'Compte de résultat'!$B$14-Hypothèses!$B$65+'Compte de résultat'!$B$15)-'Compte de résultat'!$B$10)/12+('Compte de résultat'!$B$12+'Compte de résultat'!$B$14-Hypothèses!$B$65+'Compte de résultat'!$B$15)*Hypothèses!$B$108</f>
        <v>13356.4241493333</v>
      </c>
      <c r="G16" s="6" t="n">
        <f aca="false">('Compte de résultat'!$B$24-('Compte de résultat'!$B$12+'Compte de résultat'!$B$14-Hypothèses!$B$65+'Compte de résultat'!$B$15)-'Compte de résultat'!$B$10)/12+('Compte de résultat'!$B$12+'Compte de résultat'!$B$14-Hypothèses!$B$65+'Compte de résultat'!$B$15)*Hypothèses!$B$109</f>
        <v>13684.5264069333</v>
      </c>
      <c r="H16" s="6" t="n">
        <f aca="false">('Compte de résultat'!$B$24-('Compte de résultat'!$B$12+'Compte de résultat'!$B$14-Hypothèses!$B$65+'Compte de résultat'!$B$15)-'Compte de résultat'!$B$10)/12+('Compte de résultat'!$B$12+'Compte de résultat'!$B$14-Hypothèses!$B$65+'Compte de résultat'!$B$15)*Hypothèses!$B$110</f>
        <v>13684.5264069333</v>
      </c>
      <c r="I16" s="6" t="n">
        <f aca="false">('Compte de résultat'!$B$24-('Compte de résultat'!$B$12+'Compte de résultat'!$B$14-Hypothèses!$B$65+'Compte de résultat'!$B$15)-'Compte de résultat'!$B$10)/12+('Compte de résultat'!$B$12+'Compte de résultat'!$B$14-Hypothèses!$B$65+'Compte de résultat'!$B$15)*Hypothèses!$B$111</f>
        <v>13810.7195829333</v>
      </c>
      <c r="J16" s="6" t="n">
        <f aca="false">('Compte de résultat'!$B$24-('Compte de résultat'!$B$12+'Compte de résultat'!$B$14-Hypothèses!$B$65+'Compte de résultat'!$B$15)-'Compte de résultat'!$B$10)/12+('Compte de résultat'!$B$12+'Compte de résultat'!$B$14-Hypothèses!$B$65+'Compte de résultat'!$B$15)*Hypothèses!$B$112</f>
        <v>13709.7650421333</v>
      </c>
      <c r="K16" s="6" t="n">
        <f aca="false">('Compte de résultat'!$B$24-('Compte de résultat'!$B$12+'Compte de résultat'!$B$14-Hypothèses!$B$65+'Compte de résultat'!$B$15)-'Compte de résultat'!$B$10)/12+('Compte de résultat'!$B$12+'Compte de résultat'!$B$14-Hypothèses!$B$65+'Compte de résultat'!$B$15)*Hypothèses!$B$113</f>
        <v>13608.8105013333</v>
      </c>
      <c r="L16" s="6" t="n">
        <f aca="false">('Compte de résultat'!$B$24-('Compte de résultat'!$B$12+'Compte de résultat'!$B$14-Hypothèses!$B$65+'Compte de résultat'!$B$15)-'Compte de résultat'!$B$10)/12+('Compte de résultat'!$B$12+'Compte de résultat'!$B$14-Hypothèses!$B$65+'Compte de résultat'!$B$15)*Hypothèses!$B$114</f>
        <v>13507.8559605333</v>
      </c>
      <c r="M16" s="6" t="n">
        <f aca="false">('Compte de résultat'!$B$24-('Compte de résultat'!$B$12+'Compte de résultat'!$B$14-Hypothèses!$B$65+'Compte de résultat'!$B$15)-'Compte de résultat'!$B$10)/12+('Compte de résultat'!$B$12+'Compte de résultat'!$B$14-Hypothèses!$B$65+'Compte de résultat'!$B$15)*Hypothèses!$B$115</f>
        <v>13255.4696085333</v>
      </c>
      <c r="N16" s="6" t="n">
        <f aca="false">('Compte de résultat'!$B$24-('Compte de résultat'!$B$12+'Compte de résultat'!$B$14-Hypothèses!$B$65+'Compte de résultat'!$B$15)-'Compte de résultat'!$B$10)/12+('Compte de résultat'!$B$12+'Compte de résultat'!$B$14-Hypothèses!$B$65+'Compte de résultat'!$B$15)*Hypothèses!$B$116</f>
        <v>13104.0377973333</v>
      </c>
      <c r="O16" s="28" t="n">
        <f aca="false">SUM(B16:N16)</f>
        <v>161286.6352</v>
      </c>
    </row>
    <row r="17" customFormat="false" ht="15" hidden="false" customHeight="false" outlineLevel="0" collapsed="false">
      <c r="A17" s="12" t="s">
        <v>309</v>
      </c>
      <c r="B17" s="6" t="n">
        <f aca="false">0</f>
        <v>0</v>
      </c>
      <c r="C17" s="6" t="n">
        <f aca="false">0</f>
        <v>0</v>
      </c>
      <c r="D17" s="6" t="n">
        <f aca="false">0</f>
        <v>0</v>
      </c>
      <c r="E17" s="6" t="n">
        <f aca="false">0</f>
        <v>0</v>
      </c>
      <c r="F17" s="6" t="n">
        <f aca="false">'Compte de résultat'!$B$26</f>
        <v>0</v>
      </c>
      <c r="G17" s="6" t="n">
        <f aca="false">0</f>
        <v>0</v>
      </c>
      <c r="H17" s="6" t="n">
        <f aca="false">0</f>
        <v>0</v>
      </c>
      <c r="I17" s="6" t="n">
        <f aca="false">0</f>
        <v>0</v>
      </c>
      <c r="J17" s="6" t="n">
        <f aca="false">0</f>
        <v>0</v>
      </c>
      <c r="K17" s="6" t="n">
        <f aca="false">0</f>
        <v>0</v>
      </c>
      <c r="L17" s="6" t="n">
        <f aca="false">0</f>
        <v>0</v>
      </c>
      <c r="M17" s="6" t="n">
        <f aca="false">0</f>
        <v>0</v>
      </c>
      <c r="N17" s="6" t="n">
        <f aca="false">0</f>
        <v>0</v>
      </c>
      <c r="O17" s="28" t="n">
        <f aca="false">SUM(B17:N17)</f>
        <v>0</v>
      </c>
    </row>
    <row r="18" customFormat="false" ht="15" hidden="false" customHeight="false" outlineLevel="0" collapsed="false">
      <c r="A18" s="12" t="s">
        <v>358</v>
      </c>
      <c r="B18" s="6" t="n">
        <f aca="false">0</f>
        <v>0</v>
      </c>
      <c r="C18" s="6" t="n">
        <f aca="false">('Compte de résultat'!$B$27+'Compte de résultat'!$B$28)/12</f>
        <v>3839.14666666667</v>
      </c>
      <c r="D18" s="6" t="n">
        <f aca="false">('Compte de résultat'!$B$27+'Compte de résultat'!$B$28)/12</f>
        <v>3839.14666666667</v>
      </c>
      <c r="E18" s="6" t="n">
        <f aca="false">('Compte de résultat'!$B$27+'Compte de résultat'!$B$28)/12</f>
        <v>3839.14666666667</v>
      </c>
      <c r="F18" s="6" t="n">
        <f aca="false">('Compte de résultat'!$B$27+'Compte de résultat'!$B$28)/12</f>
        <v>3839.14666666667</v>
      </c>
      <c r="G18" s="6" t="n">
        <f aca="false">('Compte de résultat'!$B$27+'Compte de résultat'!$B$28)/12</f>
        <v>3839.14666666667</v>
      </c>
      <c r="H18" s="6" t="n">
        <f aca="false">('Compte de résultat'!$B$27+'Compte de résultat'!$B$28)/12</f>
        <v>3839.14666666667</v>
      </c>
      <c r="I18" s="6" t="n">
        <f aca="false">('Compte de résultat'!$B$27+'Compte de résultat'!$B$28)/12</f>
        <v>3839.14666666667</v>
      </c>
      <c r="J18" s="6" t="n">
        <f aca="false">('Compte de résultat'!$B$27+'Compte de résultat'!$B$28)/12</f>
        <v>3839.14666666667</v>
      </c>
      <c r="K18" s="6" t="n">
        <f aca="false">('Compte de résultat'!$B$27+'Compte de résultat'!$B$28)/12</f>
        <v>3839.14666666667</v>
      </c>
      <c r="L18" s="6" t="n">
        <f aca="false">('Compte de résultat'!$B$27+'Compte de résultat'!$B$28)/12</f>
        <v>3839.14666666667</v>
      </c>
      <c r="M18" s="6" t="n">
        <f aca="false">('Compte de résultat'!$B$27+'Compte de résultat'!$B$28)/12</f>
        <v>3839.14666666667</v>
      </c>
      <c r="N18" s="6" t="n">
        <f aca="false">('Compte de résultat'!$B$27+'Compte de résultat'!$B$28)/12</f>
        <v>3839.14666666667</v>
      </c>
      <c r="O18" s="28" t="n">
        <f aca="false">SUM(B18:N18)</f>
        <v>46069.76</v>
      </c>
    </row>
    <row r="19" customFormat="false" ht="15" hidden="false" customHeight="false" outlineLevel="0" collapsed="false">
      <c r="A19" s="12" t="s">
        <v>359</v>
      </c>
      <c r="B19" s="6" t="n">
        <f aca="false">0</f>
        <v>0</v>
      </c>
      <c r="C19" s="6" t="n">
        <f aca="false">('Compte de résultat'!$B$29+'Compte de résultat'!$B$30)/12</f>
        <v>3240</v>
      </c>
      <c r="D19" s="6" t="n">
        <f aca="false">('Compte de résultat'!$B$29+'Compte de résultat'!$B$30)/12</f>
        <v>3240</v>
      </c>
      <c r="E19" s="6" t="n">
        <f aca="false">('Compte de résultat'!$B$29+'Compte de résultat'!$B$30)/12</f>
        <v>3240</v>
      </c>
      <c r="F19" s="6" t="n">
        <f aca="false">('Compte de résultat'!$B$29+'Compte de résultat'!$B$30)/12</f>
        <v>3240</v>
      </c>
      <c r="G19" s="6" t="n">
        <f aca="false">('Compte de résultat'!$B$29+'Compte de résultat'!$B$30)/12</f>
        <v>3240</v>
      </c>
      <c r="H19" s="6" t="n">
        <f aca="false">('Compte de résultat'!$B$29+'Compte de résultat'!$B$30)/12</f>
        <v>3240</v>
      </c>
      <c r="I19" s="6" t="n">
        <f aca="false">('Compte de résultat'!$B$29+'Compte de résultat'!$B$30)/12</f>
        <v>3240</v>
      </c>
      <c r="J19" s="6" t="n">
        <f aca="false">('Compte de résultat'!$B$29+'Compte de résultat'!$B$30)/12</f>
        <v>3240</v>
      </c>
      <c r="K19" s="6" t="n">
        <f aca="false">('Compte de résultat'!$B$29+'Compte de résultat'!$B$30)/12</f>
        <v>3240</v>
      </c>
      <c r="L19" s="6" t="n">
        <f aca="false">('Compte de résultat'!$B$29+'Compte de résultat'!$B$30)/12</f>
        <v>3240</v>
      </c>
      <c r="M19" s="6" t="n">
        <f aca="false">('Compte de résultat'!$B$29+'Compte de résultat'!$B$30)/12</f>
        <v>3240</v>
      </c>
      <c r="N19" s="6" t="n">
        <f aca="false">('Compte de résultat'!$B$29+'Compte de résultat'!$B$30)/12</f>
        <v>3240</v>
      </c>
      <c r="O19" s="28" t="n">
        <f aca="false">SUM(B19:N19)</f>
        <v>38880</v>
      </c>
    </row>
    <row r="20" customFormat="false" ht="15" hidden="false" customHeight="false" outlineLevel="0" collapsed="false">
      <c r="A20" s="12" t="s">
        <v>360</v>
      </c>
      <c r="B20" s="6" t="n">
        <f aca="false">0</f>
        <v>0</v>
      </c>
      <c r="C20" s="6" t="n">
        <f aca="false">INDEX(Prêt!$F$5:$F$124,1)</f>
        <v>1720</v>
      </c>
      <c r="D20" s="6" t="n">
        <f aca="false">INDEX(Prêt!$F$5:$F$124,2)</f>
        <v>1720</v>
      </c>
      <c r="E20" s="6" t="n">
        <f aca="false">INDEX(Prêt!$F$5:$F$124,3)</f>
        <v>1720</v>
      </c>
      <c r="F20" s="6" t="n">
        <f aca="false">INDEX(Prêt!$F$5:$F$124,4)</f>
        <v>1720</v>
      </c>
      <c r="G20" s="6" t="n">
        <f aca="false">INDEX(Prêt!$F$5:$F$124,5)</f>
        <v>1720</v>
      </c>
      <c r="H20" s="6" t="n">
        <f aca="false">INDEX(Prêt!$F$5:$F$124,6)</f>
        <v>1720</v>
      </c>
      <c r="I20" s="6" t="n">
        <f aca="false">INDEX(Prêt!$F$5:$F$124,7)</f>
        <v>1720</v>
      </c>
      <c r="J20" s="6" t="n">
        <f aca="false">INDEX(Prêt!$F$5:$F$124,8)</f>
        <v>1720</v>
      </c>
      <c r="K20" s="6" t="n">
        <f aca="false">INDEX(Prêt!$F$5:$F$124,9)</f>
        <v>1720</v>
      </c>
      <c r="L20" s="6" t="n">
        <f aca="false">INDEX(Prêt!$F$5:$F$124,10)</f>
        <v>1720</v>
      </c>
      <c r="M20" s="6" t="n">
        <f aca="false">INDEX(Prêt!$F$5:$F$124,11)</f>
        <v>1720</v>
      </c>
      <c r="N20" s="6" t="n">
        <f aca="false">INDEX(Prêt!$F$5:$F$124,12)</f>
        <v>1720</v>
      </c>
      <c r="O20" s="28" t="n">
        <f aca="false">SUM(B20:N20)</f>
        <v>20640</v>
      </c>
    </row>
    <row r="21" customFormat="false" ht="15" hidden="false" customHeight="false" outlineLevel="0" collapsed="false">
      <c r="A21" s="12" t="s">
        <v>361</v>
      </c>
      <c r="B21" s="6" t="n">
        <f aca="false">0</f>
        <v>0</v>
      </c>
      <c r="C21" s="6" t="n">
        <f aca="false">INDEX(Prêt!$H$5:$H$124,1)+INDEX(Prêt!$I$5:$I$124,1)</f>
        <v>440</v>
      </c>
      <c r="D21" s="6" t="n">
        <f aca="false">INDEX(Prêt!$H$5:$H$124,2)+INDEX(Prêt!$I$5:$I$124,2)</f>
        <v>440</v>
      </c>
      <c r="E21" s="6" t="n">
        <f aca="false">INDEX(Prêt!$H$5:$H$124,3)+INDEX(Prêt!$I$5:$I$124,3)</f>
        <v>440</v>
      </c>
      <c r="F21" s="6" t="n">
        <f aca="false">INDEX(Prêt!$H$5:$H$124,4)+INDEX(Prêt!$I$5:$I$124,4)</f>
        <v>440</v>
      </c>
      <c r="G21" s="6" t="n">
        <f aca="false">INDEX(Prêt!$H$5:$H$124,5)+INDEX(Prêt!$I$5:$I$124,5)</f>
        <v>440</v>
      </c>
      <c r="H21" s="6" t="n">
        <f aca="false">INDEX(Prêt!$H$5:$H$124,6)+INDEX(Prêt!$I$5:$I$124,6)</f>
        <v>440</v>
      </c>
      <c r="I21" s="6" t="n">
        <f aca="false">INDEX(Prêt!$H$5:$H$124,7)+INDEX(Prêt!$I$5:$I$124,7)</f>
        <v>440</v>
      </c>
      <c r="J21" s="6" t="n">
        <f aca="false">INDEX(Prêt!$H$5:$H$124,8)+INDEX(Prêt!$I$5:$I$124,8)</f>
        <v>440</v>
      </c>
      <c r="K21" s="6" t="n">
        <f aca="false">INDEX(Prêt!$H$5:$H$124,9)+INDEX(Prêt!$I$5:$I$124,9)</f>
        <v>440</v>
      </c>
      <c r="L21" s="6" t="n">
        <f aca="false">INDEX(Prêt!$H$5:$H$124,10)+INDEX(Prêt!$I$5:$I$124,10)</f>
        <v>440</v>
      </c>
      <c r="M21" s="6" t="n">
        <f aca="false">INDEX(Prêt!$H$5:$H$124,11)+INDEX(Prêt!$I$5:$I$124,11)</f>
        <v>440</v>
      </c>
      <c r="N21" s="6" t="n">
        <f aca="false">INDEX(Prêt!$H$5:$H$124,12)+INDEX(Prêt!$I$5:$I$124,12)</f>
        <v>440</v>
      </c>
      <c r="O21" s="28" t="n">
        <f aca="false">SUM(B21:N21)</f>
        <v>5280</v>
      </c>
    </row>
    <row r="22" customFormat="false" ht="15" hidden="false" customHeight="false" outlineLevel="0" collapsed="false">
      <c r="A22" s="23" t="s">
        <v>362</v>
      </c>
      <c r="B22" s="30" t="n">
        <f aca="false">SUM(B12:B21)</f>
        <v>741400</v>
      </c>
      <c r="C22" s="30" t="n">
        <f aca="false">SUM(C12:C21)</f>
        <v>72243.502112</v>
      </c>
      <c r="D22" s="30" t="n">
        <f aca="false">SUM(D12:D21)</f>
        <v>137559.424306667</v>
      </c>
      <c r="E22" s="30" t="n">
        <f aca="false">SUM(E12:E21)</f>
        <v>24708.927992</v>
      </c>
      <c r="F22" s="30" t="n">
        <f aca="false">SUM(F12:F21)</f>
        <v>73215.842816</v>
      </c>
      <c r="G22" s="30" t="n">
        <f aca="false">SUM(G12:G21)</f>
        <v>25097.8642736</v>
      </c>
      <c r="H22" s="30" t="n">
        <f aca="false">SUM(H12:H21)</f>
        <v>25097.8642736</v>
      </c>
      <c r="I22" s="30" t="n">
        <f aca="false">SUM(I12:I21)</f>
        <v>74090.9494496</v>
      </c>
      <c r="J22" s="30" t="n">
        <f aca="false">SUM(J12:J21)</f>
        <v>25146.4813088</v>
      </c>
      <c r="K22" s="30" t="n">
        <f aca="false">SUM(K12:K21)</f>
        <v>24952.013168</v>
      </c>
      <c r="L22" s="30" t="n">
        <f aca="false">SUM(L12:L21)</f>
        <v>73507.5450272</v>
      </c>
      <c r="M22" s="30" t="n">
        <f aca="false">SUM(M12:M21)</f>
        <v>24271.3746752</v>
      </c>
      <c r="N22" s="30" t="n">
        <f aca="false">SUM(N12:N21)</f>
        <v>23979.672464</v>
      </c>
      <c r="O22" s="28" t="n">
        <f aca="false">SUM(B22:N22)</f>
        <v>1345271.46186667</v>
      </c>
    </row>
    <row r="23" customFormat="false" ht="15" hidden="false" customHeight="false" outlineLevel="0" collapsed="false">
      <c r="A23" s="23" t="s">
        <v>363</v>
      </c>
      <c r="B23" s="30" t="n">
        <f aca="false">B5+B11-B22</f>
        <v>86000</v>
      </c>
      <c r="C23" s="30" t="n">
        <f aca="false">C5+C11-C22</f>
        <v>44334.465888</v>
      </c>
      <c r="D23" s="30" t="n">
        <f aca="false">D5+D11-D22</f>
        <v>57397.5015813333</v>
      </c>
      <c r="E23" s="30" t="n">
        <f aca="false">E5+E11-E22</f>
        <v>76007.3615893334</v>
      </c>
      <c r="F23" s="30" t="n">
        <f aca="false">F5+F11-F22</f>
        <v>43562.1427733333</v>
      </c>
      <c r="G23" s="30" t="n">
        <f aca="false">G5+G11-G22</f>
        <v>65860.1288997334</v>
      </c>
      <c r="H23" s="30" t="n">
        <f aca="false">H5+H11-H22</f>
        <v>88158.1150261334</v>
      </c>
      <c r="I23" s="30" t="n">
        <f aca="false">I5+I11-I22</f>
        <v>64011.1799765334</v>
      </c>
      <c r="J23" s="30" t="n">
        <f aca="false">J5+J11-J22</f>
        <v>86770.1818677334</v>
      </c>
      <c r="K23" s="30" t="n">
        <f aca="false">K5+K11-K22</f>
        <v>107685.120699733</v>
      </c>
      <c r="L23" s="30" t="n">
        <f aca="false">L5+L11-L22</f>
        <v>78005.9964725333</v>
      </c>
      <c r="M23" s="30" t="n">
        <f aca="false">M5+M11-M22</f>
        <v>92466.7145973333</v>
      </c>
      <c r="N23" s="30" t="n">
        <f aca="false">N5+N11-N22</f>
        <v>104161.338133333</v>
      </c>
    </row>
    <row r="25" customFormat="false" ht="15" hidden="false" customHeight="false" outlineLevel="0" collapsed="false">
      <c r="A25" s="23" t="s">
        <v>364</v>
      </c>
      <c r="B25" s="28" t="n">
        <f aca="false">MIN(C23:N23)</f>
        <v>43562.1427733333</v>
      </c>
    </row>
    <row r="26" customFormat="false" ht="15" hidden="false" customHeight="false" outlineLevel="0" collapsed="false">
      <c r="A26" s="4" t="s">
        <v>365</v>
      </c>
      <c r="B26" s="4" t="str">
        <f aca="false">INDEX(C4:N4,MATCH(B25,C23:N23,0))</f>
        <v>Décembre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8"/>
    <col collapsed="false" customWidth="true" hidden="false" outlineLevel="0" max="4" min="2" style="0" width="16"/>
  </cols>
  <sheetData>
    <row r="1" customFormat="false" ht="17.35" hidden="false" customHeight="false" outlineLevel="0" collapsed="false">
      <c r="A1" s="1" t="s">
        <v>366</v>
      </c>
    </row>
    <row r="3" customFormat="false" ht="15" hidden="false" customHeight="false" outlineLevel="0" collapsed="false">
      <c r="A3" s="2" t="s">
        <v>367</v>
      </c>
      <c r="B3" s="3" t="s">
        <v>2</v>
      </c>
      <c r="C3" s="3" t="s">
        <v>3</v>
      </c>
      <c r="D3" s="3" t="s">
        <v>4</v>
      </c>
    </row>
    <row r="4" customFormat="false" ht="15" hidden="false" customHeight="false" outlineLevel="0" collapsed="false">
      <c r="A4" s="4" t="s">
        <v>368</v>
      </c>
      <c r="B4" s="6" t="n">
        <f aca="false">Financement!$B$4+Financement!$B$5+Financement!$B$6+Financement!$B$7+Financement!$B$8+Financement!$B$9+Financement!$B$10+Financement!$B$11+Financement!$B$12+Financement!$B$13+Financement!$B$14+Financement!$B$15+Financement!$B$16</f>
        <v>629000</v>
      </c>
      <c r="C4" s="6" t="n">
        <f aca="false">0</f>
        <v>0</v>
      </c>
      <c r="D4" s="6" t="n">
        <f aca="false">0</f>
        <v>0</v>
      </c>
    </row>
    <row r="5" customFormat="false" ht="15" hidden="false" customHeight="false" outlineLevel="0" collapsed="false">
      <c r="A5" s="4" t="s">
        <v>369</v>
      </c>
      <c r="B5" s="6" t="n">
        <f aca="false">0</f>
        <v>0</v>
      </c>
      <c r="C5" s="6" t="n">
        <f aca="false">'Compte de résultat'!C7*Hypothèses!$B$93</f>
        <v>9952.88256</v>
      </c>
      <c r="D5" s="6" t="n">
        <f aca="false">'Compte de résultat'!D7*Hypothèses!$B$93</f>
        <v>11208.478896</v>
      </c>
    </row>
    <row r="6" customFormat="false" ht="15" hidden="false" customHeight="false" outlineLevel="0" collapsed="false">
      <c r="A6" s="4" t="s">
        <v>326</v>
      </c>
      <c r="B6" s="6" t="n">
        <f aca="false">'Compte de résultat'!B47</f>
        <v>0</v>
      </c>
      <c r="C6" s="6" t="n">
        <f aca="false">'Compte de résultat'!C47</f>
        <v>71667.2211932725</v>
      </c>
      <c r="D6" s="6" t="n">
        <f aca="false">'Compte de résultat'!D47</f>
        <v>74810.3780166303</v>
      </c>
    </row>
    <row r="7" customFormat="false" ht="15" hidden="false" customHeight="false" outlineLevel="0" collapsed="false">
      <c r="A7" s="4" t="s">
        <v>370</v>
      </c>
      <c r="B7" s="6" t="n">
        <f aca="false">0</f>
        <v>0</v>
      </c>
      <c r="C7" s="6" t="n">
        <f aca="false">'Compte de résultat'!B43</f>
        <v>0</v>
      </c>
      <c r="D7" s="6" t="n">
        <f aca="false">'Compte de résultat'!C43</f>
        <v>11063.3708993631</v>
      </c>
    </row>
    <row r="8" customFormat="false" ht="15" hidden="false" customHeight="false" outlineLevel="0" collapsed="false">
      <c r="A8" s="23" t="s">
        <v>371</v>
      </c>
      <c r="B8" s="28" t="n">
        <f aca="false">SUM(B4:B7)</f>
        <v>629000</v>
      </c>
      <c r="C8" s="28" t="n">
        <f aca="false">SUM(C4:C7)</f>
        <v>81620.1037532725</v>
      </c>
      <c r="D8" s="28" t="n">
        <f aca="false">SUM(D4:D7)</f>
        <v>97082.2278119934</v>
      </c>
    </row>
    <row r="10" customFormat="false" ht="15" hidden="false" customHeight="false" outlineLevel="0" collapsed="false">
      <c r="A10" s="2" t="s">
        <v>262</v>
      </c>
      <c r="B10" s="3" t="s">
        <v>2</v>
      </c>
      <c r="C10" s="3" t="s">
        <v>3</v>
      </c>
      <c r="D10" s="3" t="s">
        <v>4</v>
      </c>
    </row>
    <row r="11" customFormat="false" ht="15" hidden="false" customHeight="false" outlineLevel="0" collapsed="false">
      <c r="A11" s="4" t="s">
        <v>348</v>
      </c>
      <c r="B11" s="6" t="n">
        <f aca="false">Financement!$B$22+Financement!$B$23</f>
        <v>210000</v>
      </c>
      <c r="C11" s="6" t="n">
        <f aca="false">0</f>
        <v>0</v>
      </c>
      <c r="D11" s="6" t="n">
        <f aca="false">0</f>
        <v>0</v>
      </c>
    </row>
    <row r="12" customFormat="false" ht="15" hidden="false" customHeight="false" outlineLevel="0" collapsed="false">
      <c r="A12" s="4" t="s">
        <v>349</v>
      </c>
      <c r="B12" s="6" t="n">
        <f aca="false">Financement!$B$24</f>
        <v>25000</v>
      </c>
      <c r="C12" s="6" t="n">
        <f aca="false">0</f>
        <v>0</v>
      </c>
      <c r="D12" s="6" t="n">
        <f aca="false">0</f>
        <v>0</v>
      </c>
    </row>
    <row r="13" customFormat="false" ht="15" hidden="false" customHeight="false" outlineLevel="0" collapsed="false">
      <c r="A13" s="4" t="s">
        <v>267</v>
      </c>
      <c r="B13" s="6" t="n">
        <f aca="false">Financement!$B$25</f>
        <v>480000</v>
      </c>
      <c r="C13" s="6" t="n">
        <f aca="false">0</f>
        <v>0</v>
      </c>
      <c r="D13" s="6" t="n">
        <f aca="false">0</f>
        <v>0</v>
      </c>
    </row>
    <row r="14" customFormat="false" ht="15" hidden="false" customHeight="false" outlineLevel="0" collapsed="false">
      <c r="A14" s="4" t="s">
        <v>372</v>
      </c>
      <c r="B14" s="6" t="n">
        <f aca="false">'Compte de résultat'!B46+'Compte de résultat'!B43</f>
        <v>18161.3381333333</v>
      </c>
      <c r="C14" s="6" t="n">
        <f aca="false">'Compte de résultat'!C46+'Compte de résultat'!C43</f>
        <v>139760.726776119</v>
      </c>
      <c r="D14" s="6" t="n">
        <f aca="false">'Compte de résultat'!D46+'Compte de résultat'!D43</f>
        <v>204863.062856362</v>
      </c>
    </row>
    <row r="15" customFormat="false" ht="15" hidden="false" customHeight="false" outlineLevel="0" collapsed="false">
      <c r="A15" s="23" t="s">
        <v>269</v>
      </c>
      <c r="B15" s="28" t="n">
        <f aca="false">SUM(B11:B14)</f>
        <v>733161.338133333</v>
      </c>
      <c r="C15" s="28" t="n">
        <f aca="false">SUM(C11:C14)</f>
        <v>139760.726776119</v>
      </c>
      <c r="D15" s="28" t="n">
        <f aca="false">SUM(D11:D14)</f>
        <v>204863.062856362</v>
      </c>
    </row>
    <row r="17" customFormat="false" ht="15" hidden="false" customHeight="false" outlineLevel="0" collapsed="false">
      <c r="A17" s="23" t="s">
        <v>373</v>
      </c>
      <c r="B17" s="28" t="n">
        <f aca="false">B15-B8</f>
        <v>104161.338133333</v>
      </c>
      <c r="C17" s="28" t="n">
        <f aca="false">C15-C8</f>
        <v>58140.6230228464</v>
      </c>
      <c r="D17" s="28" t="n">
        <f aca="false">D15-D8</f>
        <v>107780.835044368</v>
      </c>
    </row>
    <row r="18" customFormat="false" ht="15" hidden="false" customHeight="false" outlineLevel="0" collapsed="false">
      <c r="A18" s="23" t="s">
        <v>374</v>
      </c>
      <c r="B18" s="28" t="n">
        <f aca="false">B17</f>
        <v>104161.338133333</v>
      </c>
      <c r="C18" s="28" t="n">
        <f aca="false">B18+C17</f>
        <v>162301.96115618</v>
      </c>
      <c r="D18" s="28" t="n">
        <f aca="false">C18+D17</f>
        <v>270082.796200548</v>
      </c>
    </row>
    <row r="20" customFormat="false" ht="15" hidden="false" customHeight="false" outlineLevel="0" collapsed="false">
      <c r="A20" s="4" t="s">
        <v>375</v>
      </c>
      <c r="B20" s="4" t="str">
        <f aca="false">IF(ROUND(B18-'Trésorerie année 1'!N23,0)=0,"OK","À corriger")</f>
        <v>OK</v>
      </c>
    </row>
    <row r="21" customFormat="false" ht="15" hidden="false" customHeight="false" outlineLevel="0" collapsed="false">
      <c r="A21" s="14" t="s">
        <v>376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4"/>
    <col collapsed="false" customWidth="true" hidden="false" outlineLevel="0" max="5" min="2" style="0" width="16"/>
  </cols>
  <sheetData>
    <row r="1" customFormat="false" ht="17.35" hidden="false" customHeight="false" outlineLevel="0" collapsed="false">
      <c r="A1" s="1" t="s">
        <v>377</v>
      </c>
    </row>
    <row r="3" customFormat="false" ht="15" hidden="false" customHeight="false" outlineLevel="0" collapsed="false">
      <c r="A3" s="2" t="s">
        <v>378</v>
      </c>
      <c r="B3" s="3" t="s">
        <v>379</v>
      </c>
      <c r="C3" s="3" t="s">
        <v>380</v>
      </c>
      <c r="D3" s="3" t="s">
        <v>381</v>
      </c>
      <c r="E3" s="3" t="s">
        <v>382</v>
      </c>
    </row>
    <row r="4" customFormat="false" ht="15" hidden="false" customHeight="false" outlineLevel="0" collapsed="false">
      <c r="A4" s="12" t="s">
        <v>383</v>
      </c>
      <c r="B4" s="6" t="n">
        <f aca="false">(Financement!$B$4+Financement!$B$5+Financement!$B$6+Financement!$B$7+Financement!$B$8+Financement!$B$9+Financement!$B$10+Financement!$B$11+Financement!$B$12+Financement!$B$13+Financement!$B$14)</f>
        <v>574250</v>
      </c>
      <c r="C4" s="6" t="n">
        <f aca="false">(Financement!$B$4+Financement!$B$5+Financement!$B$6+Financement!$B$7+Financement!$B$8+Financement!$B$9+Financement!$B$10+Financement!$B$11+Financement!$B$12+Financement!$B$13+Financement!$B$14)+'Plan à 3 ans'!B5</f>
        <v>574250</v>
      </c>
      <c r="D4" s="6" t="n">
        <f aca="false">(Financement!$B$4+Financement!$B$5+Financement!$B$6+Financement!$B$7+Financement!$B$8+Financement!$B$9+Financement!$B$10+Financement!$B$11+Financement!$B$12+Financement!$B$13+Financement!$B$14)+'Plan à 3 ans'!B5+'Plan à 3 ans'!C5</f>
        <v>584202.88256</v>
      </c>
      <c r="E4" s="6" t="n">
        <f aca="false">(Financement!$B$4+Financement!$B$5+Financement!$B$6+Financement!$B$7+Financement!$B$8+Financement!$B$9+Financement!$B$10+Financement!$B$11+Financement!$B$12+Financement!$B$13+Financement!$B$14)+'Plan à 3 ans'!B5+'Plan à 3 ans'!C5+'Plan à 3 ans'!D5</f>
        <v>595411.361456</v>
      </c>
    </row>
    <row r="5" customFormat="false" ht="15" hidden="false" customHeight="false" outlineLevel="0" collapsed="false">
      <c r="A5" s="12" t="s">
        <v>384</v>
      </c>
      <c r="B5" s="6" t="n">
        <f aca="false">0</f>
        <v>0</v>
      </c>
      <c r="C5" s="6" t="n">
        <f aca="false">'Compte de résultat'!B37</f>
        <v>76516.6666666667</v>
      </c>
      <c r="D5" s="6" t="n">
        <f aca="false">'Compte de résultat'!B37+'Compte de résultat'!C37</f>
        <v>155023.909845333</v>
      </c>
      <c r="E5" s="6" t="n">
        <f aca="false">'Compte de résultat'!B37+'Compte de résultat'!C37+'Compte de résultat'!D37</f>
        <v>235772.8488032</v>
      </c>
    </row>
    <row r="6" customFormat="false" ht="15" hidden="false" customHeight="false" outlineLevel="0" collapsed="false">
      <c r="A6" s="23" t="s">
        <v>385</v>
      </c>
      <c r="B6" s="28" t="n">
        <f aca="false">B4-B5</f>
        <v>574250</v>
      </c>
      <c r="C6" s="28" t="n">
        <f aca="false">C4-C5</f>
        <v>497733.333333333</v>
      </c>
      <c r="D6" s="28" t="n">
        <f aca="false">D4-D5</f>
        <v>429178.972714667</v>
      </c>
      <c r="E6" s="28" t="n">
        <f aca="false">E4-E5</f>
        <v>359638.5126528</v>
      </c>
    </row>
    <row r="7" customFormat="false" ht="15" hidden="false" customHeight="false" outlineLevel="0" collapsed="false">
      <c r="A7" s="12" t="s">
        <v>257</v>
      </c>
      <c r="B7" s="6" t="n">
        <f aca="false">Financement!$B$15</f>
        <v>48750</v>
      </c>
      <c r="C7" s="6" t="n">
        <f aca="false">Financement!$B$15</f>
        <v>48750</v>
      </c>
      <c r="D7" s="6" t="n">
        <f aca="false">Financement!$B$15</f>
        <v>48750</v>
      </c>
      <c r="E7" s="6" t="n">
        <f aca="false">Financement!$B$15</f>
        <v>48750</v>
      </c>
    </row>
    <row r="8" customFormat="false" ht="15" hidden="false" customHeight="false" outlineLevel="0" collapsed="false">
      <c r="A8" s="12" t="s">
        <v>386</v>
      </c>
      <c r="B8" s="6" t="n">
        <f aca="false">Financement!$B$16</f>
        <v>6000</v>
      </c>
      <c r="C8" s="6" t="n">
        <f aca="false">Financement!$B$16</f>
        <v>6000</v>
      </c>
      <c r="D8" s="6" t="n">
        <f aca="false">Financement!$B$16</f>
        <v>6000</v>
      </c>
      <c r="E8" s="6" t="n">
        <f aca="false">Financement!$B$16</f>
        <v>6000</v>
      </c>
    </row>
    <row r="9" customFormat="false" ht="15" hidden="false" customHeight="false" outlineLevel="0" collapsed="false">
      <c r="A9" s="12" t="s">
        <v>387</v>
      </c>
      <c r="B9" s="6" t="n">
        <f aca="false">Financement!$B$17</f>
        <v>112400</v>
      </c>
      <c r="C9" s="6" t="n">
        <f aca="false">0</f>
        <v>0</v>
      </c>
      <c r="D9" s="6" t="n">
        <f aca="false">0</f>
        <v>0</v>
      </c>
      <c r="E9" s="6" t="n">
        <f aca="false">0</f>
        <v>0</v>
      </c>
    </row>
    <row r="10" customFormat="false" ht="15" hidden="false" customHeight="false" outlineLevel="0" collapsed="false">
      <c r="A10" s="12" t="s">
        <v>388</v>
      </c>
      <c r="B10" s="6" t="n">
        <f aca="false">Financement!$B$18</f>
        <v>86000</v>
      </c>
      <c r="C10" s="6" t="n">
        <f aca="false">'Plan à 3 ans'!B18</f>
        <v>104161.338133333</v>
      </c>
      <c r="D10" s="6" t="n">
        <f aca="false">'Plan à 3 ans'!C18</f>
        <v>162301.96115618</v>
      </c>
      <c r="E10" s="6" t="n">
        <f aca="false">'Plan à 3 ans'!D18</f>
        <v>270082.796200548</v>
      </c>
    </row>
    <row r="11" customFormat="false" ht="15" hidden="false" customHeight="false" outlineLevel="0" collapsed="false">
      <c r="A11" s="23" t="s">
        <v>389</v>
      </c>
      <c r="B11" s="28" t="n">
        <f aca="false">SUM(B6:B10)</f>
        <v>827400</v>
      </c>
      <c r="C11" s="28" t="n">
        <f aca="false">SUM(C6:C10)</f>
        <v>656644.671466667</v>
      </c>
      <c r="D11" s="28" t="n">
        <f aca="false">SUM(D6:D10)</f>
        <v>646230.933870847</v>
      </c>
      <c r="E11" s="28" t="n">
        <f aca="false">SUM(E6:E10)</f>
        <v>684471.308853348</v>
      </c>
    </row>
    <row r="13" customFormat="false" ht="15" hidden="false" customHeight="false" outlineLevel="0" collapsed="false">
      <c r="A13" s="2" t="s">
        <v>390</v>
      </c>
      <c r="B13" s="3" t="s">
        <v>379</v>
      </c>
      <c r="C13" s="3" t="s">
        <v>380</v>
      </c>
      <c r="D13" s="3" t="s">
        <v>381</v>
      </c>
      <c r="E13" s="3" t="s">
        <v>382</v>
      </c>
    </row>
    <row r="14" customFormat="false" ht="15" hidden="false" customHeight="false" outlineLevel="0" collapsed="false">
      <c r="A14" s="12" t="s">
        <v>264</v>
      </c>
      <c r="B14" s="6" t="n">
        <f aca="false">Financement!$B$22</f>
        <v>30000</v>
      </c>
      <c r="C14" s="6" t="n">
        <f aca="false">Financement!$B$22</f>
        <v>30000</v>
      </c>
      <c r="D14" s="6" t="n">
        <f aca="false">Financement!$B$22</f>
        <v>30000</v>
      </c>
      <c r="E14" s="6" t="n">
        <f aca="false">Financement!$B$22</f>
        <v>30000</v>
      </c>
    </row>
    <row r="15" customFormat="false" ht="15" hidden="false" customHeight="false" outlineLevel="0" collapsed="false">
      <c r="A15" s="12" t="s">
        <v>391</v>
      </c>
      <c r="B15" s="6" t="n">
        <f aca="false">0</f>
        <v>0</v>
      </c>
      <c r="C15" s="6" t="n">
        <f aca="false">0</f>
        <v>0</v>
      </c>
      <c r="D15" s="6" t="n">
        <f aca="false">'Compte de résultat'!B44</f>
        <v>-58355.3285333333</v>
      </c>
      <c r="E15" s="6" t="n">
        <f aca="false">'Compte de résultat'!B44+'Compte de résultat'!C44</f>
        <v>-8165.21583524413</v>
      </c>
    </row>
    <row r="16" customFormat="false" ht="15" hidden="false" customHeight="false" outlineLevel="0" collapsed="false">
      <c r="A16" s="12" t="s">
        <v>392</v>
      </c>
      <c r="B16" s="6" t="n">
        <f aca="false">0</f>
        <v>0</v>
      </c>
      <c r="C16" s="6" t="n">
        <f aca="false">'Compte de résultat'!B44</f>
        <v>-58355.3285333333</v>
      </c>
      <c r="D16" s="6" t="n">
        <f aca="false">'Compte de résultat'!C44</f>
        <v>50190.1126980892</v>
      </c>
      <c r="E16" s="6" t="n">
        <f aca="false">'Compte de résultat'!D44</f>
        <v>97335.5929238714</v>
      </c>
    </row>
    <row r="17" customFormat="false" ht="15" hidden="false" customHeight="false" outlineLevel="0" collapsed="false">
      <c r="A17" s="23" t="s">
        <v>393</v>
      </c>
      <c r="B17" s="28" t="n">
        <f aca="false">SUM(B14:B16)</f>
        <v>30000</v>
      </c>
      <c r="C17" s="28" t="n">
        <f aca="false">SUM(C14:C16)</f>
        <v>-28355.3285333333</v>
      </c>
      <c r="D17" s="28" t="n">
        <f aca="false">SUM(D14:D16)</f>
        <v>21834.7841647559</v>
      </c>
      <c r="E17" s="28" t="n">
        <f aca="false">SUM(E14:E16)</f>
        <v>119170.377088627</v>
      </c>
    </row>
    <row r="18" customFormat="false" ht="15" hidden="false" customHeight="false" outlineLevel="0" collapsed="false">
      <c r="A18" s="12" t="s">
        <v>394</v>
      </c>
      <c r="B18" s="6" t="n">
        <f aca="false">Financement!$B$23+Financement!$B$24</f>
        <v>205000</v>
      </c>
      <c r="C18" s="6" t="n">
        <f aca="false">Financement!$B$23+Financement!$B$24</f>
        <v>205000</v>
      </c>
      <c r="D18" s="6" t="n">
        <f aca="false">Financement!$B$23+Financement!$B$24</f>
        <v>205000</v>
      </c>
      <c r="E18" s="6" t="n">
        <f aca="false">Financement!$B$23+Financement!$B$24</f>
        <v>205000</v>
      </c>
    </row>
    <row r="19" customFormat="false" ht="15" hidden="false" customHeight="false" outlineLevel="0" collapsed="false">
      <c r="A19" s="12" t="s">
        <v>395</v>
      </c>
      <c r="B19" s="6" t="n">
        <f aca="false">Hypothèses!$B$49+Financement!$B$26</f>
        <v>592400</v>
      </c>
      <c r="C19" s="6" t="n">
        <f aca="false">INDEX(Prêt!$G$5:$G$124,12)</f>
        <v>480000</v>
      </c>
      <c r="D19" s="6" t="n">
        <f aca="false">INDEX(Prêt!$G$5:$G$124,24)</f>
        <v>408332.778806727</v>
      </c>
      <c r="E19" s="6" t="n">
        <f aca="false">INDEX(Prêt!$G$5:$G$124,36)</f>
        <v>333522.400790097</v>
      </c>
    </row>
    <row r="20" customFormat="false" ht="15" hidden="false" customHeight="false" outlineLevel="0" collapsed="false">
      <c r="A20" s="12" t="s">
        <v>396</v>
      </c>
      <c r="B20" s="6" t="n">
        <f aca="false">0</f>
        <v>0</v>
      </c>
      <c r="C20" s="6" t="n">
        <f aca="false">'Compte de résultat'!B43</f>
        <v>0</v>
      </c>
      <c r="D20" s="6" t="n">
        <f aca="false">'Compte de résultat'!C43</f>
        <v>11063.3708993631</v>
      </c>
      <c r="E20" s="6" t="n">
        <f aca="false">'Compte de résultat'!D43</f>
        <v>26778.5309746238</v>
      </c>
    </row>
    <row r="21" customFormat="false" ht="15" hidden="false" customHeight="false" outlineLevel="0" collapsed="false">
      <c r="A21" s="23" t="s">
        <v>397</v>
      </c>
      <c r="B21" s="28" t="n">
        <f aca="false">B17+B18+B19+B20</f>
        <v>827400</v>
      </c>
      <c r="C21" s="28" t="n">
        <f aca="false">C17+C18+C19+C20</f>
        <v>656644.671466667</v>
      </c>
      <c r="D21" s="28" t="n">
        <f aca="false">D17+D18+D19+D20</f>
        <v>646230.933870846</v>
      </c>
      <c r="E21" s="28" t="n">
        <f aca="false">E17+E18+E19+E20</f>
        <v>684471.308853348</v>
      </c>
    </row>
    <row r="23" customFormat="false" ht="15" hidden="false" customHeight="false" outlineLevel="0" collapsed="false">
      <c r="A23" s="23" t="s">
        <v>398</v>
      </c>
      <c r="B23" s="4" t="str">
        <f aca="false">IF(ROUND(B11-B21,0)=0,"OK","À corriger")</f>
        <v>OK</v>
      </c>
      <c r="C23" s="4" t="str">
        <f aca="false">IF(ROUND(C11-C21,0)=0,"OK","À corriger")</f>
        <v>OK</v>
      </c>
      <c r="D23" s="4" t="str">
        <f aca="false">IF(ROUND(D11-D21,0)=0,"OK","À corriger")</f>
        <v>OK</v>
      </c>
      <c r="E23" s="4" t="str">
        <f aca="false">IF(ROUND(E11-E21,0)=0,"OK","À corriger")</f>
        <v>OK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4"/>
    <col collapsed="false" customWidth="true" hidden="false" outlineLevel="0" max="8" min="2" style="0" width="17"/>
  </cols>
  <sheetData>
    <row r="1" customFormat="false" ht="17.35" hidden="false" customHeight="false" outlineLevel="0" collapsed="false">
      <c r="A1" s="1" t="s">
        <v>399</v>
      </c>
    </row>
    <row r="3" customFormat="false" ht="15" hidden="false" customHeight="false" outlineLevel="0" collapsed="false">
      <c r="A3" s="4" t="s">
        <v>400</v>
      </c>
      <c r="B3" s="27" t="n">
        <f aca="false">Hypothèses!$B$11/(1+Hypothèses!$B$13)*(1-Hypothèses!$B$64)+Hypothèses!$B$10*(Hypothèses!$B$23*(1-Hypothèses!$B$24)+Hypothèses!$B$25*(1-Hypothèses!$B$26))-1.5*Hypothèses!$B$61*Hypothèses!$B$62-Hypothèses!$B$66*(Hypothèses!$B$11+Hypothèses!$B$10*(Hypothèses!$B$23+Hypothèses!$B$25)*(1+Hypothèses!$B$13))</f>
        <v>61.3326666666667</v>
      </c>
    </row>
    <row r="4" customFormat="false" ht="15" hidden="false" customHeight="false" outlineLevel="0" collapsed="false">
      <c r="A4" s="4" t="s">
        <v>401</v>
      </c>
      <c r="B4" s="27" t="n">
        <f aca="false">Hypothèses!$B$12/(1+Hypothèses!$B$13)*(1-Hypothèses!$B$64)+Hypothèses!$B$10*(Hypothèses!$B$23*(1-Hypothèses!$B$24)+Hypothèses!$B$25*(1-Hypothèses!$B$26))-1.5*Hypothèses!$B$61*Hypothèses!$B$62-Hypothèses!$B$66*(Hypothèses!$B$12+Hypothèses!$B$10*(Hypothèses!$B$23+Hypothèses!$B$25)*(1+Hypothèses!$B$13))</f>
        <v>45.366</v>
      </c>
    </row>
    <row r="5" customFormat="false" ht="15" hidden="false" customHeight="false" outlineLevel="0" collapsed="false">
      <c r="A5" s="4" t="s">
        <v>402</v>
      </c>
      <c r="B5" s="6" t="n">
        <f aca="false">Activité!B8*B3+Activité!B9*B4</f>
        <v>461015.7648</v>
      </c>
    </row>
    <row r="6" customFormat="false" ht="15" hidden="false" customHeight="false" outlineLevel="0" collapsed="false">
      <c r="A6" s="4" t="s">
        <v>403</v>
      </c>
      <c r="B6" s="6" t="n">
        <f aca="false">B5-'Compte de résultat'!B31</f>
        <v>415997.76</v>
      </c>
    </row>
    <row r="7" customFormat="false" ht="15" hidden="false" customHeight="false" outlineLevel="0" collapsed="false">
      <c r="A7" s="4" t="s">
        <v>404</v>
      </c>
      <c r="B7" s="6" t="n">
        <f aca="false">'Compte de résultat'!B37+'Compte de résultat'!B39+'Compte de résultat'!B40+'Compte de résultat'!B41</f>
        <v>103373.333333333</v>
      </c>
    </row>
    <row r="9" customFormat="false" ht="15" hidden="false" customHeight="false" outlineLevel="0" collapsed="false">
      <c r="A9" s="23" t="s">
        <v>405</v>
      </c>
      <c r="B9" s="5" t="n">
        <f aca="false">IFERROR((B6+B7)/B5*Activité!B11,0)</f>
        <v>0.307395372197311</v>
      </c>
    </row>
    <row r="10" customFormat="false" ht="15" hidden="false" customHeight="false" outlineLevel="0" collapsed="false">
      <c r="A10" s="23" t="s">
        <v>406</v>
      </c>
      <c r="B10" s="5" t="n">
        <f aca="false">IFERROR((B6+'Compte de résultat'!B48)/B5*Activité!B11,0)</f>
        <v>0.262108159390876</v>
      </c>
    </row>
    <row r="11" customFormat="false" ht="15" hidden="false" customHeight="false" outlineLevel="0" collapsed="false">
      <c r="A11" s="4" t="s">
        <v>407</v>
      </c>
      <c r="B11" s="5" t="n">
        <f aca="false">Activité!B11</f>
        <v>0.272857142857143</v>
      </c>
    </row>
    <row r="12" customFormat="false" ht="15" hidden="false" customHeight="false" outlineLevel="0" collapsed="false">
      <c r="A12" s="4" t="s">
        <v>408</v>
      </c>
      <c r="B12" s="5" t="n">
        <f aca="false">IFERROR(('Compte de résultat'!C7-'Compte de résultat'!C8-'Compte de résultat'!C31+'Compte de résultat'!C48)/('Compte de résultat'!C7-'Compte de résultat'!C8)*Activité!C11,0)</f>
        <v>0.311078373670707</v>
      </c>
      <c r="C12" s="14" t="s">
        <v>409</v>
      </c>
    </row>
    <row r="14" customFormat="false" ht="15" hidden="false" customHeight="false" outlineLevel="0" collapsed="false">
      <c r="A14" s="2" t="s">
        <v>410</v>
      </c>
      <c r="B14" s="3" t="s">
        <v>411</v>
      </c>
      <c r="C14" s="3" t="s">
        <v>412</v>
      </c>
      <c r="D14" s="3" t="s">
        <v>413</v>
      </c>
      <c r="E14" s="3" t="s">
        <v>6</v>
      </c>
      <c r="F14" s="3" t="s">
        <v>414</v>
      </c>
      <c r="G14" s="3" t="s">
        <v>415</v>
      </c>
      <c r="H14" s="3" t="s">
        <v>416</v>
      </c>
    </row>
    <row r="15" customFormat="false" ht="15" hidden="false" customHeight="false" outlineLevel="0" collapsed="false">
      <c r="A15" s="4" t="s">
        <v>417</v>
      </c>
      <c r="B15" s="5" t="n">
        <f aca="false">Hypothèses!$B$16+Hypothèses!$B$99</f>
        <v>0.25</v>
      </c>
      <c r="C15" s="5" t="n">
        <f aca="false">Hypothèses!$B$19+Hypothèses!$B$100</f>
        <v>0.09</v>
      </c>
      <c r="D15" s="5" t="n">
        <f aca="false">(Activité!B4*B15+Activité!B5*C15)/(Activité!B4+Activité!B5)</f>
        <v>0.204285714285714</v>
      </c>
      <c r="E15" s="6" t="n">
        <f aca="false">'Compte de résultat'!B7+(Activité!B4*(B15-Hypothèses!$B$16))*(Hypothèses!$B$11/(1+Hypothèses!$B$13)+Hypothèses!$B$10*(Hypothèses!$B$23+Hypothèses!$B$25))+(Activité!B5*(C15-Hypothèses!$B$19))*(Hypothèses!$B$12/(1+Hypothèses!$B$13)+Hypothèses!$B$10*(Hypothèses!$B$23+Hypothèses!$B$25))</f>
        <v>382554.4</v>
      </c>
      <c r="F15" s="6" t="n">
        <f aca="false">'Compte de résultat'!B31+(Activité!B4*(B15-Hypothèses!$B$16))*$B$3+(Activité!B5*(C15-Hypothèses!$B$19))*$B$4</f>
        <v>-69884.3696</v>
      </c>
      <c r="G15" s="7" t="n">
        <f aca="false">IFERROR((('Compte de résultat'!C31+((Activité!B4*(B15-Hypothèses!$B$16))*$B$3+(Activité!B5*(C15-Hypothèses!$B$19))*$B$4)*(1+Hypothèses!$B$14))-IF((('Compte de résultat'!C31+((Activité!B4*(B15-Hypothèses!$B$16))*$B$3+(Activité!B5*(C15-Hypothèses!$B$19))*$B$4)*(1+Hypothèses!$B$14))-'Compte de résultat'!C37-'Compte de résultat'!C39-'Compte de résultat'!C40-'Compte de résultat'!C41)&lt;=0,0,MIN((('Compte de résultat'!C31+((Activité!B4*(B15-Hypothèses!$B$16))*$B$3+(Activité!B5*(C15-Hypothèses!$B$19))*$B$4)*(1+Hypothèses!$B$14))-'Compte de résultat'!C37-'Compte de résultat'!C39-'Compte de résultat'!C40-'Compte de résultat'!C41),Hypothèses!$B$96)*Hypothèses!$B$95+MAX(0,(('Compte de résultat'!C31+((Activité!B4*(B15-Hypothèses!$B$16))*$B$3+(Activité!B5*(C15-Hypothèses!$B$19))*$B$4)*(1+Hypothèses!$B$14))-'Compte de résultat'!C37-'Compte de résultat'!C39-'Compte de résultat'!C40-'Compte de résultat'!C41)-Hypothèses!$B$96)*Hypothèses!$B$97))/'Compte de résultat'!C48,0)</f>
        <v>0.4880695827617</v>
      </c>
      <c r="H15" s="6" t="n">
        <f aca="false">MIN('Trésorerie année 1'!C23+((Activité!B4*(B15-Hypothèses!$B$16))*$B$3+(Activité!B5*(C15-Hypothèses!$B$19))*$B$4)*SUM(Hypothèses!$B$105:$B$105),'Trésorerie année 1'!D23+((Activité!B4*(B15-Hypothèses!$B$16))*$B$3+(Activité!B5*(C15-Hypothèses!$B$19))*$B$4)*SUM(Hypothèses!$B$105:$B$106),'Trésorerie année 1'!E23+((Activité!B4*(B15-Hypothèses!$B$16))*$B$3+(Activité!B5*(C15-Hypothèses!$B$19))*$B$4)*SUM(Hypothèses!$B$105:$B$107),'Trésorerie année 1'!F23+((Activité!B4*(B15-Hypothèses!$B$16))*$B$3+(Activité!B5*(C15-Hypothèses!$B$19))*$B$4)*SUM(Hypothèses!$B$105:$B$108),'Trésorerie année 1'!G23+((Activité!B4*(B15-Hypothèses!$B$16))*$B$3+(Activité!B5*(C15-Hypothèses!$B$19))*$B$4)*SUM(Hypothèses!$B$105:$B$109),'Trésorerie année 1'!H23+((Activité!B4*(B15-Hypothèses!$B$16))*$B$3+(Activité!B5*(C15-Hypothèses!$B$19))*$B$4)*SUM(Hypothèses!$B$105:$B$110),'Trésorerie année 1'!I23+((Activité!B4*(B15-Hypothèses!$B$16))*$B$3+(Activité!B5*(C15-Hypothèses!$B$19))*$B$4)*SUM(Hypothèses!$B$105:$B$111),'Trésorerie année 1'!J23+((Activité!B4*(B15-Hypothèses!$B$16))*$B$3+(Activité!B5*(C15-Hypothèses!$B$19))*$B$4)*SUM(Hypothèses!$B$105:$B$112),'Trésorerie année 1'!K23+((Activité!B4*(B15-Hypothèses!$B$16))*$B$3+(Activité!B5*(C15-Hypothèses!$B$19))*$B$4)*SUM(Hypothèses!$B$105:$B$113),'Trésorerie année 1'!L23+((Activité!B4*(B15-Hypothèses!$B$16))*$B$3+(Activité!B5*(C15-Hypothèses!$B$19))*$B$4)*SUM(Hypothèses!$B$105:$B$114),'Trésorerie année 1'!M23+((Activité!B4*(B15-Hypothèses!$B$16))*$B$3+(Activité!B5*(C15-Hypothèses!$B$19))*$B$4)*SUM(Hypothèses!$B$105:$B$115),'Trésorerie année 1'!N23+((Activité!B4*(B15-Hypothèses!$B$16))*$B$3+(Activité!B5*(C15-Hypothèses!$B$19))*$B$4)*SUM(Hypothèses!$B$105:$B$116))</f>
        <v>-20120.6312650667</v>
      </c>
    </row>
    <row r="16" customFormat="false" ht="15" hidden="false" customHeight="false" outlineLevel="0" collapsed="false">
      <c r="A16" s="4" t="s">
        <v>418</v>
      </c>
      <c r="B16" s="5" t="n">
        <f aca="false">Hypothèses!$B$16</f>
        <v>0.33</v>
      </c>
      <c r="C16" s="5" t="n">
        <f aca="false">Hypothèses!$B$19</f>
        <v>0.13</v>
      </c>
      <c r="D16" s="5" t="n">
        <f aca="false">(Activité!B4*B16+Activité!B5*C16)/(Activité!B4+Activité!B5)</f>
        <v>0.272857142857143</v>
      </c>
      <c r="E16" s="6" t="n">
        <f aca="false">'Compte de résultat'!B7+(Activité!B4*(B16-Hypothèses!$B$16))*(Hypothèses!$B$11/(1+Hypothèses!$B$13)+Hypothèses!$B$10*(Hypothèses!$B$23+Hypothèses!$B$25))+(Activité!B5*(C16-Hypothèses!$B$19))*(Hypothèses!$B$12/(1+Hypothèses!$B$13)+Hypothèses!$B$10*(Hypothèses!$B$23+Hypothèses!$B$25))</f>
        <v>509632.8</v>
      </c>
      <c r="F16" s="6" t="n">
        <f aca="false">'Compte de résultat'!B31+(Activité!B4*(B16-Hypothèses!$B$16))*$B$3+(Activité!B5*(C16-Hypothèses!$B$19))*$B$4</f>
        <v>45018.0048</v>
      </c>
      <c r="G16" s="7" t="n">
        <f aca="false">IFERROR((('Compte de résultat'!C31+((Activité!B4*(B16-Hypothèses!$B$16))*$B$3+(Activité!B5*(C16-Hypothèses!$B$19))*$B$4)*(1+Hypothèses!$B$14))-IF((('Compte de résultat'!C31+((Activité!B4*(B16-Hypothèses!$B$16))*$B$3+(Activité!B5*(C16-Hypothèses!$B$19))*$B$4)*(1+Hypothèses!$B$14))-'Compte de résultat'!C37-'Compte de résultat'!C39-'Compte de résultat'!C40-'Compte de résultat'!C41)&lt;=0,0,MIN((('Compte de résultat'!C31+((Activité!B4*(B16-Hypothèses!$B$16))*$B$3+(Activité!B5*(C16-Hypothèses!$B$19))*$B$4)*(1+Hypothèses!$B$14))-'Compte de résultat'!C37-'Compte de résultat'!C39-'Compte de résultat'!C40-'Compte de résultat'!C41),Hypothèses!$B$96)*Hypothèses!$B$95+MAX(0,(('Compte de résultat'!C31+((Activité!B4*(B16-Hypothèses!$B$16))*$B$3+(Activité!B5*(C16-Hypothèses!$B$19))*$B$4)*(1+Hypothèses!$B$14))-'Compte de résultat'!C37-'Compte de résultat'!C39-'Compte de résultat'!C40-'Compte de résultat'!C41)-Hypothèses!$B$96)*Hypothèses!$B$97))/'Compte de résultat'!C48,0)</f>
        <v>1.59452848682759</v>
      </c>
      <c r="H16" s="6" t="n">
        <f aca="false">MIN('Trésorerie année 1'!C23+((Activité!B4*(B16-Hypothèses!$B$16))*$B$3+(Activité!B5*(C16-Hypothèses!$B$19))*$B$4)*SUM(Hypothèses!$B$105:$B$105),'Trésorerie année 1'!D23+((Activité!B4*(B16-Hypothèses!$B$16))*$B$3+(Activité!B5*(C16-Hypothèses!$B$19))*$B$4)*SUM(Hypothèses!$B$105:$B$106),'Trésorerie année 1'!E23+((Activité!B4*(B16-Hypothèses!$B$16))*$B$3+(Activité!B5*(C16-Hypothèses!$B$19))*$B$4)*SUM(Hypothèses!$B$105:$B$107),'Trésorerie année 1'!F23+((Activité!B4*(B16-Hypothèses!$B$16))*$B$3+(Activité!B5*(C16-Hypothèses!$B$19))*$B$4)*SUM(Hypothèses!$B$105:$B$108),'Trésorerie année 1'!G23+((Activité!B4*(B16-Hypothèses!$B$16))*$B$3+(Activité!B5*(C16-Hypothèses!$B$19))*$B$4)*SUM(Hypothèses!$B$105:$B$109),'Trésorerie année 1'!H23+((Activité!B4*(B16-Hypothèses!$B$16))*$B$3+(Activité!B5*(C16-Hypothèses!$B$19))*$B$4)*SUM(Hypothèses!$B$105:$B$110),'Trésorerie année 1'!I23+((Activité!B4*(B16-Hypothèses!$B$16))*$B$3+(Activité!B5*(C16-Hypothèses!$B$19))*$B$4)*SUM(Hypothèses!$B$105:$B$111),'Trésorerie année 1'!J23+((Activité!B4*(B16-Hypothèses!$B$16))*$B$3+(Activité!B5*(C16-Hypothèses!$B$19))*$B$4)*SUM(Hypothèses!$B$105:$B$112),'Trésorerie année 1'!K23+((Activité!B4*(B16-Hypothèses!$B$16))*$B$3+(Activité!B5*(C16-Hypothèses!$B$19))*$B$4)*SUM(Hypothèses!$B$105:$B$113),'Trésorerie année 1'!L23+((Activité!B4*(B16-Hypothèses!$B$16))*$B$3+(Activité!B5*(C16-Hypothèses!$B$19))*$B$4)*SUM(Hypothèses!$B$105:$B$114),'Trésorerie année 1'!M23+((Activité!B4*(B16-Hypothèses!$B$16))*$B$3+(Activité!B5*(C16-Hypothèses!$B$19))*$B$4)*SUM(Hypothèses!$B$105:$B$115),'Trésorerie année 1'!N23+((Activité!B4*(B16-Hypothèses!$B$16))*$B$3+(Activité!B5*(C16-Hypothèses!$B$19))*$B$4)*SUM(Hypothèses!$B$105:$B$116))</f>
        <v>43562.1427733333</v>
      </c>
    </row>
    <row r="17" customFormat="false" ht="15" hidden="false" customHeight="false" outlineLevel="0" collapsed="false">
      <c r="A17" s="4" t="s">
        <v>419</v>
      </c>
      <c r="B17" s="5" t="n">
        <f aca="false">Hypothèses!$B$16+Hypothèses!$B$101</f>
        <v>0.38</v>
      </c>
      <c r="C17" s="5" t="n">
        <f aca="false">Hypothèses!$B$19+Hypothèses!$B$102</f>
        <v>0.16</v>
      </c>
      <c r="D17" s="5" t="n">
        <f aca="false">(Activité!B4*B17+Activité!B5*C17)/(Activité!B4+Activité!B5)</f>
        <v>0.317142857142857</v>
      </c>
      <c r="E17" s="6" t="n">
        <f aca="false">'Compte de résultat'!B7+(Activité!B4*(B17-Hypothèses!$B$16))*(Hypothèses!$B$11/(1+Hypothèses!$B$13)+Hypothèses!$B$10*(Hypothèses!$B$23+Hypothèses!$B$25))+(Activité!B5*(C17-Hypothèses!$B$19))*(Hypothèses!$B$12/(1+Hypothèses!$B$13)+Hypothèses!$B$10*(Hypothèses!$B$23+Hypothèses!$B$25))</f>
        <v>591137.6</v>
      </c>
      <c r="F17" s="6" t="n">
        <f aca="false">'Compte de résultat'!B31+(Activité!B4*(B17-Hypothèses!$B$16))*$B$3+(Activité!B5*(C17-Hypothèses!$B$19))*$B$4</f>
        <v>118682.9216</v>
      </c>
      <c r="G17" s="7" t="n">
        <f aca="false">IFERROR((('Compte de résultat'!C31+((Activité!B4*(B17-Hypothèses!$B$16))*$B$3+(Activité!B5*(C17-Hypothèses!$B$19))*$B$4)*(1+Hypothèses!$B$14))-IF((('Compte de résultat'!C31+((Activité!B4*(B17-Hypothèses!$B$16))*$B$3+(Activité!B5*(C17-Hypothèses!$B$19))*$B$4)*(1+Hypothèses!$B$14))-'Compte de résultat'!C37-'Compte de résultat'!C39-'Compte de résultat'!C40-'Compte de résultat'!C41)&lt;=0,0,MIN((('Compte de résultat'!C31+((Activité!B4*(B17-Hypothèses!$B$16))*$B$3+(Activité!B5*(C17-Hypothèses!$B$19))*$B$4)*(1+Hypothèses!$B$14))-'Compte de résultat'!C37-'Compte de résultat'!C39-'Compte de résultat'!C40-'Compte de résultat'!C41),Hypothèses!$B$96)*Hypothèses!$B$95+MAX(0,(('Compte de résultat'!C31+((Activité!B4*(B17-Hypothèses!$B$16))*$B$3+(Activité!B5*(C17-Hypothèses!$B$19))*$B$4)*(1+Hypothèses!$B$14))-'Compte de résultat'!C37-'Compte de résultat'!C39-'Compte de résultat'!C40-'Compte de résultat'!C41)-Hypothèses!$B$96)*Hypothèses!$B$97))/'Compte de résultat'!C48,0)</f>
        <v>2.18200486570597</v>
      </c>
      <c r="H17" s="6" t="n">
        <f aca="false">MIN('Trésorerie année 1'!C23+((Activité!B4*(B17-Hypothèses!$B$16))*$B$3+(Activité!B5*(C17-Hypothèses!$B$19))*$B$4)*SUM(Hypothèses!$B$105:$B$105),'Trésorerie année 1'!D23+((Activité!B4*(B17-Hypothèses!$B$16))*$B$3+(Activité!B5*(C17-Hypothèses!$B$19))*$B$4)*SUM(Hypothèses!$B$105:$B$106),'Trésorerie année 1'!E23+((Activité!B4*(B17-Hypothèses!$B$16))*$B$3+(Activité!B5*(C17-Hypothèses!$B$19))*$B$4)*SUM(Hypothèses!$B$105:$B$107),'Trésorerie année 1'!F23+((Activité!B4*(B17-Hypothèses!$B$16))*$B$3+(Activité!B5*(C17-Hypothèses!$B$19))*$B$4)*SUM(Hypothèses!$B$105:$B$108),'Trésorerie année 1'!G23+((Activité!B4*(B17-Hypothèses!$B$16))*$B$3+(Activité!B5*(C17-Hypothèses!$B$19))*$B$4)*SUM(Hypothèses!$B$105:$B$109),'Trésorerie année 1'!H23+((Activité!B4*(B17-Hypothèses!$B$16))*$B$3+(Activité!B5*(C17-Hypothèses!$B$19))*$B$4)*SUM(Hypothèses!$B$105:$B$110),'Trésorerie année 1'!I23+((Activité!B4*(B17-Hypothèses!$B$16))*$B$3+(Activité!B5*(C17-Hypothèses!$B$19))*$B$4)*SUM(Hypothèses!$B$105:$B$111),'Trésorerie année 1'!J23+((Activité!B4*(B17-Hypothèses!$B$16))*$B$3+(Activité!B5*(C17-Hypothèses!$B$19))*$B$4)*SUM(Hypothèses!$B$105:$B$112),'Trésorerie année 1'!K23+((Activité!B4*(B17-Hypothèses!$B$16))*$B$3+(Activité!B5*(C17-Hypothèses!$B$19))*$B$4)*SUM(Hypothèses!$B$105:$B$113),'Trésorerie année 1'!L23+((Activité!B4*(B17-Hypothèses!$B$16))*$B$3+(Activité!B5*(C17-Hypothèses!$B$19))*$B$4)*SUM(Hypothèses!$B$105:$B$114),'Trésorerie année 1'!M23+((Activité!B4*(B17-Hypothèses!$B$16))*$B$3+(Activité!B5*(C17-Hypothèses!$B$19))*$B$4)*SUM(Hypothèses!$B$105:$B$115),'Trésorerie année 1'!N23+((Activité!B4*(B17-Hypothèses!$B$16))*$B$3+(Activité!B5*(C17-Hypothèses!$B$19))*$B$4)*SUM(Hypothèses!$B$105:$B$116))</f>
        <v>48754.360896</v>
      </c>
    </row>
    <row r="19" customFormat="false" ht="15" hidden="false" customHeight="false" outlineLevel="0" collapsed="false">
      <c r="A19" s="2" t="s">
        <v>420</v>
      </c>
      <c r="B19" s="3" t="s">
        <v>421</v>
      </c>
      <c r="C19" s="3" t="s">
        <v>422</v>
      </c>
      <c r="D19" s="3" t="s">
        <v>423</v>
      </c>
      <c r="E19" s="3" t="s">
        <v>424</v>
      </c>
    </row>
    <row r="20" customFormat="false" ht="15" hidden="false" customHeight="false" outlineLevel="0" collapsed="false">
      <c r="A20" s="4" t="s">
        <v>425</v>
      </c>
      <c r="B20" s="6" t="n">
        <f aca="false">-0.3*('Compte de résultat'!B12+'Compte de résultat'!B13)</f>
        <v>-10150.21728</v>
      </c>
      <c r="C20" s="6" t="n">
        <f aca="false">0</f>
        <v>0</v>
      </c>
      <c r="D20" s="7" t="n">
        <f aca="false">IFERROR((('Compte de résultat'!B31+B20)-IF((('Compte de résultat'!B31+B20)-$B$7-C20)&lt;=0,0,MIN((('Compte de résultat'!B31+B20)-$B$7-C20),Hypothèses!$B$96)*Hypothèses!$B$95+MAX(0,(('Compte de résultat'!B31+B20)-$B$7-C20)-Hypothèses!$B$96)*Hypothèses!$B$97))/('Compte de résultat'!B48+C20),0)</f>
        <v>1.29829170361177</v>
      </c>
      <c r="E20" s="7" t="n">
        <f aca="false">IFERROR((('Compte de résultat'!C31+B20*(1+Hypothèses!$B$75))-IF((('Compte de résultat'!C31+B20*(1+Hypothèses!$B$75))-'Compte de résultat'!C37-'Compte de résultat'!C39-'Compte de résultat'!C40-'Compte de résultat'!C41-0)&lt;=0,0,MIN((('Compte de résultat'!C31+B20*(1+Hypothèses!$B$75))-'Compte de résultat'!C37-'Compte de résultat'!C39-'Compte de résultat'!C40-'Compte de résultat'!C41-0),Hypothèses!$B$96)*Hypothèses!$B$95+MAX(0,(('Compte de résultat'!C31+B20*(1+Hypothèses!$B$75))-'Compte de résultat'!C37-'Compte de résultat'!C39-'Compte de résultat'!C40-'Compte de résultat'!C41-0)-Hypothèses!$B$96)*Hypothèses!$B$97))/('Compte de résultat'!C48+0),0)</f>
        <v>1.51358068763747</v>
      </c>
    </row>
    <row r="21" customFormat="false" ht="15" hidden="false" customHeight="false" outlineLevel="0" collapsed="false">
      <c r="A21" s="4" t="s">
        <v>426</v>
      </c>
      <c r="B21" s="6" t="n">
        <f aca="false">0</f>
        <v>0</v>
      </c>
      <c r="C21" s="6" t="n">
        <f aca="false">0.01*SUMPRODUCT((Prêt!$B$5:$B$124=1)*Prêt!$C$5:$C$124)/12</f>
        <v>4800</v>
      </c>
      <c r="D21" s="7" t="n">
        <f aca="false">IFERROR((('Compte de résultat'!B31+B21)-IF((('Compte de résultat'!B31+B21)-$B$7-C21)&lt;=0,0,MIN((('Compte de résultat'!B31+B21)-$B$7-C21),Hypothèses!$B$96)*Hypothèses!$B$95+MAX(0,(('Compte de résultat'!B31+B21)-$B$7-C21)-Hypothèses!$B$96)*Hypothèses!$B$97))/('Compte de résultat'!B48+C21),0)</f>
        <v>1.42207027903549</v>
      </c>
      <c r="E21" s="7" t="n">
        <f aca="false">IFERROR((('Compte de résultat'!C31+B21*(1+Hypothèses!$B$75))-IF((('Compte de résultat'!C31+B21*(1+Hypothèses!$B$75))-'Compte de résultat'!C37-'Compte de résultat'!C39-'Compte de résultat'!C40-'Compte de résultat'!C41-0.01*SUMPRODUCT((Prêt!$B$5:$B$124=2)*Prêt!$C$5:$C$124)/12)&lt;=0,0,MIN((('Compte de résultat'!C31+B21*(1+Hypothèses!$B$75))-'Compte de résultat'!C37-'Compte de résultat'!C39-'Compte de résultat'!C40-'Compte de résultat'!C41-0.01*SUMPRODUCT((Prêt!$B$5:$B$124=2)*Prêt!$C$5:$C$124)/12),Hypothèses!$B$96)*Hypothèses!$B$95+MAX(0,(('Compte de résultat'!C31+B21*(1+Hypothèses!$B$75))-'Compte de résultat'!C37-'Compte de résultat'!C39-'Compte de résultat'!C40-'Compte de résultat'!C41-0.01*SUMPRODUCT((Prêt!$B$5:$B$124=2)*Prêt!$C$5:$C$124)/12)-Hypothèses!$B$96)*Hypothèses!$B$97))/('Compte de résultat'!C48+0.01*SUMPRODUCT((Prêt!$B$5:$B$124=2)*Prêt!$C$5:$C$124)/12),0)</f>
        <v>1.53461242688029</v>
      </c>
    </row>
    <row r="22" customFormat="false" ht="15" hidden="false" customHeight="false" outlineLevel="0" collapsed="false">
      <c r="A22" s="4" t="s">
        <v>427</v>
      </c>
      <c r="B22" s="6" t="n">
        <f aca="false">-Hypothèses!$B$80*(1+Hypothèses!$B$81)</f>
        <v>-14767.36</v>
      </c>
      <c r="C22" s="6" t="n">
        <f aca="false">0</f>
        <v>0</v>
      </c>
      <c r="D22" s="7" t="n">
        <f aca="false">IFERROR((('Compte de résultat'!B31+B22)-IF((('Compte de résultat'!B31+B22)-$B$7-C22)&lt;=0,0,MIN((('Compte de résultat'!B31+B22)-$B$7-C22),Hypothèses!$B$96)*Hypothèses!$B$95+MAX(0,(('Compte de résultat'!B31+B22)-$B$7-C22)-Hypothèses!$B$96)*Hypothèses!$B$97))/('Compte de résultat'!B48+C22),0)</f>
        <v>1.12637376691076</v>
      </c>
      <c r="E22" s="7" t="n">
        <f aca="false">IFERROR((('Compte de résultat'!C31+B22*(1+Hypothèses!$B$75))-IF((('Compte de résultat'!C31+B22*(1+Hypothèses!$B$75))-'Compte de résultat'!C37-'Compte de résultat'!C39-'Compte de résultat'!C40-'Compte de résultat'!C41-0)&lt;=0,0,MIN((('Compte de résultat'!C31+B22*(1+Hypothèses!$B$75))-'Compte de résultat'!C37-'Compte de résultat'!C39-'Compte de résultat'!C40-'Compte de résultat'!C41-0),Hypothèses!$B$96)*Hypothèses!$B$95+MAX(0,(('Compte de résultat'!C31+B22*(1+Hypothèses!$B$75))-'Compte de résultat'!C37-'Compte de résultat'!C39-'Compte de résultat'!C40-'Compte de résultat'!C41-0)-Hypothèses!$B$96)*Hypothèses!$B$97))/('Compte de résultat'!C48+0),0)</f>
        <v>1.47675905796979</v>
      </c>
    </row>
    <row r="23" customFormat="false" ht="15" hidden="false" customHeight="false" outlineLevel="0" collapsed="false">
      <c r="A23" s="4" t="s">
        <v>428</v>
      </c>
      <c r="B23" s="6" t="n">
        <f aca="false">-0.1*'Compte de résultat'!B10</f>
        <v>-19500</v>
      </c>
      <c r="C23" s="6" t="n">
        <f aca="false">0</f>
        <v>0</v>
      </c>
      <c r="D23" s="7" t="n">
        <f aca="false">IFERROR((('Compte de résultat'!B31+B23)-IF((('Compte de résultat'!B31+B23)-$B$7-C23)&lt;=0,0,MIN((('Compte de résultat'!B31+B23)-$B$7-C23),Hypothèses!$B$96)*Hypothèses!$B$95+MAX(0,(('Compte de résultat'!B31+B23)-$B$7-C23)-Hypothèses!$B$96)*Hypothèses!$B$97))/('Compte de résultat'!B48+C23),0)</f>
        <v>0.950155323321336</v>
      </c>
      <c r="E23" s="7" t="n">
        <f aca="false">IFERROR((('Compte de résultat'!C31+B23*(1+Hypothèses!$B$75))-IF((('Compte de résultat'!C31+B23*(1+Hypothèses!$B$75))-'Compte de résultat'!C37-'Compte de résultat'!C39-'Compte de résultat'!C40-'Compte de résultat'!C41-0)&lt;=0,0,MIN((('Compte de résultat'!C31+B23*(1+Hypothèses!$B$75))-'Compte de résultat'!C37-'Compte de résultat'!C39-'Compte de résultat'!C40-'Compte de résultat'!C41-0),Hypothèses!$B$96)*Hypothèses!$B$95+MAX(0,(('Compte de résultat'!C31+B23*(1+Hypothèses!$B$75))-'Compte de résultat'!C37-'Compte de résultat'!C39-'Compte de résultat'!C40-'Compte de résultat'!C41-0)-Hypothèses!$B$96)*Hypothèses!$B$97))/('Compte de résultat'!C48+0),0)</f>
        <v>1.43783154249186</v>
      </c>
    </row>
    <row r="24" customFormat="false" ht="15" hidden="false" customHeight="false" outlineLevel="0" collapsed="false">
      <c r="A24" s="23" t="s">
        <v>429</v>
      </c>
      <c r="B24" s="6" t="n">
        <f aca="false">(F15-F16)+B20</f>
        <v>-125052.59168</v>
      </c>
      <c r="C24" s="6" t="n">
        <f aca="false">C21</f>
        <v>4800</v>
      </c>
      <c r="D24" s="7" t="n">
        <f aca="false">IFERROR((('Compte de résultat'!B31+B24)-IF((('Compte de résultat'!B31+B24)-$B$7-C24)&lt;=0,0,MIN((('Compte de résultat'!B31+B24)-$B$7-C24),Hypothèses!$B$96)*Hypothèses!$B$95+MAX(0,(('Compte de résultat'!B31+B24)-$B$7-C24)-Hypothèses!$B$96)*Hypothèses!$B$97))/('Compte de résultat'!B48+C24),0)</f>
        <v>-2.52820638770138</v>
      </c>
      <c r="E24" s="7" t="n">
        <f aca="false">IFERROR((('Compte de résultat'!C31+B24*(1+Hypothèses!$B$75))-IF((('Compte de résultat'!C31+B24*(1+Hypothèses!$B$75))-'Compte de résultat'!C37-'Compte de résultat'!C39-'Compte de résultat'!C40-'Compte de résultat'!C41-0.01*SUMPRODUCT((Prêt!$B$5:$B$124=2)*Prêt!$C$5:$C$124)/12)&lt;=0,0,MIN((('Compte de résultat'!C31+B24*(1+Hypothèses!$B$75))-'Compte de résultat'!C37-'Compte de résultat'!C39-'Compte de résultat'!C40-'Compte de résultat'!C41-0.01*SUMPRODUCT((Prêt!$B$5:$B$124=2)*Prêt!$C$5:$C$124)/12),Hypothèses!$B$96)*Hypothèses!$B$95+MAX(0,(('Compte de résultat'!C31+B24*(1+Hypothèses!$B$75))-'Compte de résultat'!C37-'Compte de résultat'!C39-'Compte de résultat'!C40-'Compte de résultat'!C41-0.01*SUMPRODUCT((Prêt!$B$5:$B$124=2)*Prêt!$C$5:$C$124)/12)-Hypothèses!$B$96)*Hypothèses!$B$97))/('Compte de résultat'!C48+0.01*SUMPRODUCT((Prêt!$B$5:$B$124=2)*Prêt!$C$5:$C$124)/12),0)</f>
        <v>0.363199087480247</v>
      </c>
    </row>
    <row r="26" customFormat="false" ht="15" hidden="false" customHeight="false" outlineLevel="0" collapsed="false">
      <c r="A26" s="14" t="s">
        <v>430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2026-10-09T23:03:15Z</dcterms:created>
  <dc:creator>openpyxl</dc:creator>
  <dc:description/>
  <dc:language>en-US</dc:language>
  <cp:lastModifiedBy/>
  <dcterms:modified xsi:type="dcterms:W3CDTF">2026-10-09T23:03:15Z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